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99230CA5-0FAE-422A-9394-751DDC550F7F}" xr6:coauthVersionLast="47" xr6:coauthVersionMax="47" xr10:uidLastSave="{00000000-0000-0000-0000-000000000000}"/>
  <bookViews>
    <workbookView xWindow="-120" yWindow="-120" windowWidth="20730" windowHeight="11160" firstSheet="3" activeTab="3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FE-Flujo de Efectivo" sheetId="3" r:id="rId4"/>
    <sheet name="ECANP-Cambio Patrimonio" sheetId="4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Financiero'!$A$5:$K$35</definedName>
    <definedName name="_xlnm._FilterDatabase" localSheetId="0" hidden="1">ABRIL!$A$3:$C$54</definedName>
    <definedName name="_xlnm._FilterDatabase" localSheetId="1" hidden="1">'BC Balance Comprobación'!$A$11:$Y$164</definedName>
    <definedName name="_xlnm._FilterDatabase" localSheetId="4" hidden="1">'ECANP-Cambio Patrimonio'!$C$7:$I$23</definedName>
    <definedName name="_xlnm._FilterDatabase" localSheetId="3" hidden="1">'EFE-Flujo de Efectivo'!$A$5:$H$66</definedName>
    <definedName name="_xlnm.Print_Area" localSheetId="2">' ERF-Rendimiento Financiero'!$C$1:$H$47</definedName>
    <definedName name="_xlnm.Print_Area" localSheetId="1">'BC Balance Comprobación'!$C$5:$F$163</definedName>
    <definedName name="_xlnm.Print_Area" localSheetId="4">'ECANP-Cambio Patrimonio'!$A$1:$I$31</definedName>
    <definedName name="_xlnm.Print_Area" localSheetId="3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J12" i="7"/>
  <c r="J10" i="7"/>
  <c r="I13" i="7"/>
  <c r="H13" i="7"/>
  <c r="H11" i="7"/>
  <c r="F23" i="1"/>
  <c r="F22" i="1"/>
  <c r="C53" i="3" l="1"/>
  <c r="C59" i="3" s="1"/>
  <c r="H18" i="4"/>
  <c r="C36" i="3" l="1"/>
  <c r="C44" i="3"/>
  <c r="C41" i="3"/>
  <c r="C20" i="3"/>
  <c r="C18" i="3"/>
  <c r="C17" i="3"/>
  <c r="C16" i="3"/>
  <c r="C9" i="3"/>
  <c r="F41" i="6"/>
  <c r="F51" i="6"/>
  <c r="F53" i="6" s="1"/>
  <c r="F15" i="2"/>
  <c r="F21" i="2" s="1"/>
  <c r="F14" i="2"/>
  <c r="F17" i="2"/>
  <c r="F16" i="2"/>
  <c r="F10" i="2"/>
  <c r="C10" i="3" s="1"/>
  <c r="C26" i="3" s="1"/>
  <c r="C61" i="3" s="1"/>
  <c r="C63" i="3" s="1"/>
  <c r="F9" i="2"/>
  <c r="F8" i="2"/>
  <c r="F9" i="6"/>
  <c r="E59" i="6"/>
  <c r="C55" i="6"/>
  <c r="E58" i="6" s="1"/>
  <c r="E60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54" i="6" l="1"/>
  <c r="E55" i="6"/>
  <c r="D55" i="6"/>
  <c r="H17" i="4" l="1"/>
  <c r="H16" i="4"/>
  <c r="H15" i="4"/>
  <c r="G13" i="4"/>
  <c r="F13" i="4"/>
  <c r="F20" i="4" s="1"/>
  <c r="E13" i="4"/>
  <c r="E20" i="4" s="1"/>
  <c r="D13" i="4"/>
  <c r="D14" i="4" s="1"/>
  <c r="H12" i="4"/>
  <c r="H13" i="4" s="1"/>
  <c r="H9" i="4"/>
  <c r="H8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H19" i="3"/>
  <c r="C19" i="3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H9" i="3"/>
  <c r="E9" i="3"/>
  <c r="H8" i="3"/>
  <c r="H7" i="3"/>
  <c r="E5" i="3"/>
  <c r="C5" i="3"/>
  <c r="A3" i="3"/>
  <c r="A1" i="3"/>
  <c r="H32" i="2"/>
  <c r="K32" i="2" s="1"/>
  <c r="F32" i="2"/>
  <c r="K31" i="2"/>
  <c r="K30" i="2"/>
  <c r="K29" i="2"/>
  <c r="K25" i="2"/>
  <c r="K24" i="2"/>
  <c r="K23" i="2"/>
  <c r="K22" i="2"/>
  <c r="H20" i="2"/>
  <c r="F20" i="2"/>
  <c r="H19" i="2"/>
  <c r="F19" i="2"/>
  <c r="H18" i="2"/>
  <c r="F18" i="2"/>
  <c r="H17" i="2"/>
  <c r="K17" i="2"/>
  <c r="H16" i="2"/>
  <c r="K16" i="2"/>
  <c r="H15" i="2"/>
  <c r="K15" i="2" s="1"/>
  <c r="H14" i="2"/>
  <c r="K14" i="2" s="1"/>
  <c r="F11" i="2"/>
  <c r="F27" i="2" s="1"/>
  <c r="G19" i="4" s="1"/>
  <c r="H10" i="2"/>
  <c r="K10" i="2"/>
  <c r="H9" i="2"/>
  <c r="K9" i="2" s="1"/>
  <c r="H8" i="2"/>
  <c r="K8" i="2" s="1"/>
  <c r="H7" i="2"/>
  <c r="H11" i="2" s="1"/>
  <c r="F7" i="2"/>
  <c r="H5" i="2"/>
  <c r="C3" i="2"/>
  <c r="C1" i="2"/>
  <c r="W180" i="1"/>
  <c r="W179" i="1"/>
  <c r="W178" i="1"/>
  <c r="W177" i="1"/>
  <c r="W176" i="1"/>
  <c r="W175" i="1"/>
  <c r="W174" i="1"/>
  <c r="W173" i="1"/>
  <c r="J173" i="1"/>
  <c r="W172" i="1"/>
  <c r="J172" i="1"/>
  <c r="W171" i="1"/>
  <c r="J171" i="1"/>
  <c r="W170" i="1"/>
  <c r="J170" i="1"/>
  <c r="W169" i="1"/>
  <c r="J169" i="1"/>
  <c r="W168" i="1"/>
  <c r="J168" i="1"/>
  <c r="F168" i="1"/>
  <c r="E168" i="1"/>
  <c r="W167" i="1"/>
  <c r="J167" i="1"/>
  <c r="W166" i="1"/>
  <c r="J166" i="1"/>
  <c r="W165" i="1"/>
  <c r="U165" i="1"/>
  <c r="Y165" i="1" s="1"/>
  <c r="J165" i="1"/>
  <c r="O164" i="1"/>
  <c r="Y164" i="1" s="1"/>
  <c r="K164" i="1"/>
  <c r="J164" i="1"/>
  <c r="N164" i="1" s="1"/>
  <c r="U163" i="1"/>
  <c r="J163" i="1"/>
  <c r="F163" i="1"/>
  <c r="F3" i="1" s="1"/>
  <c r="M162" i="1"/>
  <c r="N162" i="1" s="1"/>
  <c r="J162" i="1"/>
  <c r="I162" i="1"/>
  <c r="E162" i="1"/>
  <c r="M161" i="1"/>
  <c r="J161" i="1"/>
  <c r="N161" i="1" s="1"/>
  <c r="I161" i="1"/>
  <c r="M160" i="1"/>
  <c r="J160" i="1"/>
  <c r="I160" i="1"/>
  <c r="M159" i="1"/>
  <c r="J159" i="1"/>
  <c r="I159" i="1"/>
  <c r="O158" i="1"/>
  <c r="M158" i="1"/>
  <c r="J158" i="1"/>
  <c r="N158" i="1" s="1"/>
  <c r="W158" i="1" s="1"/>
  <c r="I158" i="1"/>
  <c r="M157" i="1"/>
  <c r="N157" i="1" s="1"/>
  <c r="J157" i="1"/>
  <c r="I157" i="1"/>
  <c r="M156" i="1"/>
  <c r="J156" i="1"/>
  <c r="N156" i="1" s="1"/>
  <c r="I156" i="1"/>
  <c r="U155" i="1"/>
  <c r="N155" i="1"/>
  <c r="M155" i="1"/>
  <c r="J155" i="1"/>
  <c r="M154" i="1"/>
  <c r="N154" i="1" s="1"/>
  <c r="J154" i="1"/>
  <c r="U153" i="1"/>
  <c r="M153" i="1"/>
  <c r="J153" i="1"/>
  <c r="AA152" i="1"/>
  <c r="M152" i="1"/>
  <c r="N152" i="1" s="1"/>
  <c r="W152" i="1" s="1"/>
  <c r="J152" i="1"/>
  <c r="I152" i="1"/>
  <c r="AA151" i="1"/>
  <c r="O151" i="1"/>
  <c r="M151" i="1"/>
  <c r="J151" i="1"/>
  <c r="N151" i="1" s="1"/>
  <c r="W151" i="1" s="1"/>
  <c r="I151" i="1"/>
  <c r="AA150" i="1"/>
  <c r="M150" i="1"/>
  <c r="J150" i="1"/>
  <c r="N150" i="1" s="1"/>
  <c r="I150" i="1"/>
  <c r="AA149" i="1"/>
  <c r="W149" i="1"/>
  <c r="N149" i="1"/>
  <c r="M149" i="1"/>
  <c r="J149" i="1"/>
  <c r="I149" i="1"/>
  <c r="AA148" i="1"/>
  <c r="M148" i="1"/>
  <c r="J148" i="1"/>
  <c r="N148" i="1" s="1"/>
  <c r="W148" i="1" s="1"/>
  <c r="I148" i="1"/>
  <c r="AA147" i="1"/>
  <c r="M147" i="1"/>
  <c r="J147" i="1"/>
  <c r="I147" i="1"/>
  <c r="AA146" i="1"/>
  <c r="W146" i="1"/>
  <c r="M146" i="1"/>
  <c r="N146" i="1" s="1"/>
  <c r="J146" i="1"/>
  <c r="I146" i="1"/>
  <c r="AA145" i="1"/>
  <c r="N145" i="1"/>
  <c r="M145" i="1"/>
  <c r="J145" i="1"/>
  <c r="I145" i="1"/>
  <c r="AA144" i="1"/>
  <c r="O144" i="1"/>
  <c r="M144" i="1"/>
  <c r="J144" i="1"/>
  <c r="N144" i="1" s="1"/>
  <c r="I144" i="1"/>
  <c r="AA143" i="1"/>
  <c r="M143" i="1"/>
  <c r="J143" i="1"/>
  <c r="N143" i="1" s="1"/>
  <c r="O143" i="1" s="1"/>
  <c r="AA142" i="1"/>
  <c r="M142" i="1"/>
  <c r="J142" i="1"/>
  <c r="I142" i="1"/>
  <c r="AA141" i="1"/>
  <c r="W141" i="1"/>
  <c r="N141" i="1"/>
  <c r="M141" i="1"/>
  <c r="J141" i="1"/>
  <c r="I141" i="1"/>
  <c r="AA140" i="1"/>
  <c r="N140" i="1"/>
  <c r="M140" i="1"/>
  <c r="J140" i="1"/>
  <c r="I140" i="1"/>
  <c r="AA139" i="1"/>
  <c r="M139" i="1"/>
  <c r="J139" i="1"/>
  <c r="N139" i="1" s="1"/>
  <c r="AA138" i="1"/>
  <c r="O138" i="1"/>
  <c r="M138" i="1"/>
  <c r="J138" i="1"/>
  <c r="N138" i="1" s="1"/>
  <c r="I138" i="1"/>
  <c r="AA137" i="1"/>
  <c r="M137" i="1"/>
  <c r="J137" i="1"/>
  <c r="N137" i="1" s="1"/>
  <c r="O137" i="1" s="1"/>
  <c r="I137" i="1"/>
  <c r="AA136" i="1"/>
  <c r="W136" i="1"/>
  <c r="N136" i="1"/>
  <c r="M136" i="1"/>
  <c r="J136" i="1"/>
  <c r="I136" i="1"/>
  <c r="AA135" i="1"/>
  <c r="N135" i="1"/>
  <c r="M135" i="1"/>
  <c r="J135" i="1"/>
  <c r="I135" i="1"/>
  <c r="AA134" i="1"/>
  <c r="S134" i="1"/>
  <c r="O134" i="1"/>
  <c r="Y134" i="1" s="1"/>
  <c r="M134" i="1"/>
  <c r="J134" i="1"/>
  <c r="N134" i="1" s="1"/>
  <c r="W134" i="1" s="1"/>
  <c r="I134" i="1"/>
  <c r="AA133" i="1"/>
  <c r="M133" i="1"/>
  <c r="J133" i="1"/>
  <c r="N133" i="1" s="1"/>
  <c r="I133" i="1"/>
  <c r="AA132" i="1"/>
  <c r="W132" i="1"/>
  <c r="M132" i="1"/>
  <c r="N132" i="1" s="1"/>
  <c r="AA131" i="1"/>
  <c r="M131" i="1"/>
  <c r="J131" i="1"/>
  <c r="I131" i="1"/>
  <c r="AA130" i="1"/>
  <c r="W130" i="1"/>
  <c r="N130" i="1"/>
  <c r="M130" i="1"/>
  <c r="J130" i="1"/>
  <c r="I130" i="1"/>
  <c r="AA129" i="1"/>
  <c r="N129" i="1"/>
  <c r="M129" i="1"/>
  <c r="J129" i="1"/>
  <c r="I129" i="1"/>
  <c r="AA128" i="1"/>
  <c r="M128" i="1"/>
  <c r="J128" i="1"/>
  <c r="N128" i="1" s="1"/>
  <c r="I128" i="1"/>
  <c r="AA127" i="1"/>
  <c r="M127" i="1"/>
  <c r="J127" i="1"/>
  <c r="I127" i="1"/>
  <c r="AA126" i="1"/>
  <c r="N126" i="1"/>
  <c r="M126" i="1"/>
  <c r="J126" i="1"/>
  <c r="I126" i="1"/>
  <c r="AA125" i="1"/>
  <c r="O125" i="1"/>
  <c r="N125" i="1"/>
  <c r="M125" i="1"/>
  <c r="J125" i="1"/>
  <c r="I125" i="1"/>
  <c r="AA124" i="1"/>
  <c r="S124" i="1"/>
  <c r="O124" i="1"/>
  <c r="Y124" i="1" s="1"/>
  <c r="M124" i="1"/>
  <c r="J124" i="1"/>
  <c r="N124" i="1" s="1"/>
  <c r="W124" i="1" s="1"/>
  <c r="I124" i="1"/>
  <c r="AA123" i="1"/>
  <c r="M123" i="1"/>
  <c r="J123" i="1"/>
  <c r="I123" i="1"/>
  <c r="AA122" i="1"/>
  <c r="W122" i="1"/>
  <c r="M122" i="1"/>
  <c r="N122" i="1" s="1"/>
  <c r="O122" i="1" s="1"/>
  <c r="Y122" i="1" s="1"/>
  <c r="AA121" i="1"/>
  <c r="M121" i="1"/>
  <c r="J121" i="1"/>
  <c r="I121" i="1"/>
  <c r="AA120" i="1"/>
  <c r="M120" i="1"/>
  <c r="J120" i="1"/>
  <c r="I120" i="1"/>
  <c r="AA119" i="1"/>
  <c r="N119" i="1"/>
  <c r="M119" i="1"/>
  <c r="J119" i="1"/>
  <c r="I119" i="1"/>
  <c r="AA118" i="1"/>
  <c r="M118" i="1"/>
  <c r="J118" i="1"/>
  <c r="N118" i="1" s="1"/>
  <c r="W118" i="1" s="1"/>
  <c r="I118" i="1"/>
  <c r="AA117" i="1"/>
  <c r="M117" i="1"/>
  <c r="J117" i="1"/>
  <c r="N117" i="1" s="1"/>
  <c r="I117" i="1"/>
  <c r="AA116" i="1"/>
  <c r="N116" i="1"/>
  <c r="M116" i="1"/>
  <c r="AA115" i="1"/>
  <c r="M115" i="1"/>
  <c r="N115" i="1" s="1"/>
  <c r="O115" i="1" s="1"/>
  <c r="J115" i="1"/>
  <c r="I115" i="1"/>
  <c r="AA114" i="1"/>
  <c r="P114" i="1"/>
  <c r="M114" i="1"/>
  <c r="J114" i="1"/>
  <c r="N114" i="1" s="1"/>
  <c r="I114" i="1"/>
  <c r="AA113" i="1"/>
  <c r="M113" i="1"/>
  <c r="J113" i="1"/>
  <c r="N113" i="1" s="1"/>
  <c r="I113" i="1"/>
  <c r="AA112" i="1"/>
  <c r="M112" i="1"/>
  <c r="J112" i="1"/>
  <c r="I112" i="1"/>
  <c r="AA111" i="1"/>
  <c r="M111" i="1"/>
  <c r="N111" i="1" s="1"/>
  <c r="AA110" i="1"/>
  <c r="M110" i="1"/>
  <c r="J110" i="1"/>
  <c r="N110" i="1" s="1"/>
  <c r="I110" i="1"/>
  <c r="AA109" i="1"/>
  <c r="M109" i="1"/>
  <c r="J109" i="1"/>
  <c r="I109" i="1"/>
  <c r="AA108" i="1"/>
  <c r="M108" i="1"/>
  <c r="J108" i="1"/>
  <c r="N108" i="1" s="1"/>
  <c r="I108" i="1"/>
  <c r="AA107" i="1"/>
  <c r="N107" i="1"/>
  <c r="M107" i="1"/>
  <c r="AA106" i="1"/>
  <c r="M106" i="1"/>
  <c r="J106" i="1"/>
  <c r="N106" i="1" s="1"/>
  <c r="I106" i="1"/>
  <c r="AA105" i="1"/>
  <c r="N105" i="1"/>
  <c r="W105" i="1" s="1"/>
  <c r="M105" i="1"/>
  <c r="J105" i="1"/>
  <c r="I105" i="1"/>
  <c r="AA104" i="1"/>
  <c r="N104" i="1"/>
  <c r="M104" i="1"/>
  <c r="AA103" i="1"/>
  <c r="W103" i="1"/>
  <c r="M103" i="1"/>
  <c r="N103" i="1" s="1"/>
  <c r="O103" i="1" s="1"/>
  <c r="M102" i="1"/>
  <c r="J102" i="1"/>
  <c r="N102" i="1" s="1"/>
  <c r="P102" i="1" s="1"/>
  <c r="I102" i="1"/>
  <c r="M101" i="1"/>
  <c r="J101" i="1"/>
  <c r="I101" i="1"/>
  <c r="M100" i="1"/>
  <c r="J100" i="1"/>
  <c r="N100" i="1" s="1"/>
  <c r="P100" i="1" s="1"/>
  <c r="I100" i="1"/>
  <c r="M99" i="1"/>
  <c r="J99" i="1"/>
  <c r="N99" i="1" s="1"/>
  <c r="O99" i="1" s="1"/>
  <c r="W99" i="1" s="1"/>
  <c r="I99" i="1"/>
  <c r="M98" i="1"/>
  <c r="J98" i="1"/>
  <c r="N98" i="1" s="1"/>
  <c r="P98" i="1" s="1"/>
  <c r="I98" i="1"/>
  <c r="M97" i="1"/>
  <c r="J97" i="1"/>
  <c r="N97" i="1" s="1"/>
  <c r="I97" i="1"/>
  <c r="M96" i="1"/>
  <c r="J96" i="1"/>
  <c r="I96" i="1"/>
  <c r="M95" i="1"/>
  <c r="J95" i="1"/>
  <c r="N95" i="1" s="1"/>
  <c r="I95" i="1"/>
  <c r="M94" i="1"/>
  <c r="J94" i="1"/>
  <c r="I94" i="1"/>
  <c r="M93" i="1"/>
  <c r="J93" i="1"/>
  <c r="N93" i="1" s="1"/>
  <c r="P93" i="1" s="1"/>
  <c r="I93" i="1"/>
  <c r="M92" i="1"/>
  <c r="J92" i="1"/>
  <c r="N92" i="1" s="1"/>
  <c r="P92" i="1" s="1"/>
  <c r="I92" i="1"/>
  <c r="M91" i="1"/>
  <c r="N91" i="1" s="1"/>
  <c r="M90" i="1"/>
  <c r="J90" i="1"/>
  <c r="N90" i="1" s="1"/>
  <c r="O90" i="1" s="1"/>
  <c r="I90" i="1"/>
  <c r="M89" i="1"/>
  <c r="J89" i="1"/>
  <c r="N89" i="1" s="1"/>
  <c r="P89" i="1" s="1"/>
  <c r="I89" i="1"/>
  <c r="M88" i="1"/>
  <c r="J88" i="1"/>
  <c r="I88" i="1"/>
  <c r="M87" i="1"/>
  <c r="J87" i="1"/>
  <c r="I87" i="1"/>
  <c r="N86" i="1"/>
  <c r="P86" i="1" s="1"/>
  <c r="M86" i="1"/>
  <c r="J86" i="1"/>
  <c r="I86" i="1"/>
  <c r="M85" i="1"/>
  <c r="J85" i="1"/>
  <c r="N85" i="1" s="1"/>
  <c r="I85" i="1"/>
  <c r="P84" i="1"/>
  <c r="O84" i="1"/>
  <c r="M84" i="1"/>
  <c r="N84" i="1" s="1"/>
  <c r="P83" i="1"/>
  <c r="M83" i="1"/>
  <c r="J83" i="1"/>
  <c r="N83" i="1" s="1"/>
  <c r="I83" i="1"/>
  <c r="M82" i="1"/>
  <c r="J82" i="1"/>
  <c r="N82" i="1" s="1"/>
  <c r="O82" i="1" s="1"/>
  <c r="I82" i="1"/>
  <c r="M81" i="1"/>
  <c r="N81" i="1" s="1"/>
  <c r="P80" i="1"/>
  <c r="O80" i="1"/>
  <c r="M80" i="1"/>
  <c r="J80" i="1"/>
  <c r="N80" i="1" s="1"/>
  <c r="I80" i="1"/>
  <c r="P79" i="1"/>
  <c r="M79" i="1"/>
  <c r="J79" i="1"/>
  <c r="N79" i="1" s="1"/>
  <c r="I79" i="1"/>
  <c r="M78" i="1"/>
  <c r="J78" i="1"/>
  <c r="N78" i="1" s="1"/>
  <c r="O78" i="1" s="1"/>
  <c r="I78" i="1"/>
  <c r="M77" i="1"/>
  <c r="N77" i="1" s="1"/>
  <c r="O77" i="1" s="1"/>
  <c r="Y77" i="1" s="1"/>
  <c r="P76" i="1"/>
  <c r="O76" i="1"/>
  <c r="W76" i="1" s="1"/>
  <c r="M76" i="1"/>
  <c r="J76" i="1"/>
  <c r="N76" i="1" s="1"/>
  <c r="I76" i="1"/>
  <c r="P75" i="1"/>
  <c r="S75" i="1" s="1"/>
  <c r="M75" i="1"/>
  <c r="J75" i="1"/>
  <c r="N75" i="1" s="1"/>
  <c r="O75" i="1" s="1"/>
  <c r="I75" i="1"/>
  <c r="M74" i="1"/>
  <c r="N74" i="1" s="1"/>
  <c r="O74" i="1" s="1"/>
  <c r="Y74" i="1" s="1"/>
  <c r="P73" i="1"/>
  <c r="M73" i="1"/>
  <c r="J73" i="1"/>
  <c r="N73" i="1" s="1"/>
  <c r="I73" i="1"/>
  <c r="M72" i="1"/>
  <c r="J72" i="1"/>
  <c r="N72" i="1" s="1"/>
  <c r="O72" i="1" s="1"/>
  <c r="I72" i="1"/>
  <c r="M71" i="1"/>
  <c r="N71" i="1" s="1"/>
  <c r="O71" i="1" s="1"/>
  <c r="Y71" i="1" s="1"/>
  <c r="P70" i="1"/>
  <c r="O70" i="1"/>
  <c r="W70" i="1" s="1"/>
  <c r="M70" i="1"/>
  <c r="J70" i="1"/>
  <c r="N70" i="1" s="1"/>
  <c r="I70" i="1"/>
  <c r="P69" i="1"/>
  <c r="S69" i="1" s="1"/>
  <c r="M69" i="1"/>
  <c r="J69" i="1"/>
  <c r="N69" i="1" s="1"/>
  <c r="O69" i="1" s="1"/>
  <c r="I69" i="1"/>
  <c r="M68" i="1"/>
  <c r="N68" i="1" s="1"/>
  <c r="O68" i="1" s="1"/>
  <c r="Y68" i="1" s="1"/>
  <c r="P67" i="1"/>
  <c r="M67" i="1"/>
  <c r="J67" i="1"/>
  <c r="N67" i="1" s="1"/>
  <c r="I67" i="1"/>
  <c r="M66" i="1"/>
  <c r="J66" i="1"/>
  <c r="N66" i="1" s="1"/>
  <c r="O66" i="1" s="1"/>
  <c r="I66" i="1"/>
  <c r="N65" i="1"/>
  <c r="M65" i="1"/>
  <c r="J65" i="1"/>
  <c r="I65" i="1"/>
  <c r="N64" i="1"/>
  <c r="O64" i="1" s="1"/>
  <c r="M64" i="1"/>
  <c r="J64" i="1"/>
  <c r="I64" i="1"/>
  <c r="P63" i="1"/>
  <c r="M63" i="1"/>
  <c r="J63" i="1"/>
  <c r="N63" i="1" s="1"/>
  <c r="O63" i="1" s="1"/>
  <c r="I63" i="1"/>
  <c r="M62" i="1"/>
  <c r="N62" i="1" s="1"/>
  <c r="N61" i="1"/>
  <c r="M61" i="1"/>
  <c r="M60" i="1"/>
  <c r="J60" i="1"/>
  <c r="N60" i="1" s="1"/>
  <c r="O60" i="1" s="1"/>
  <c r="I60" i="1"/>
  <c r="M59" i="1"/>
  <c r="J59" i="1"/>
  <c r="N59" i="1" s="1"/>
  <c r="O59" i="1" s="1"/>
  <c r="I59" i="1"/>
  <c r="M58" i="1"/>
  <c r="J58" i="1"/>
  <c r="N58" i="1" s="1"/>
  <c r="V58" i="1" s="1"/>
  <c r="I58" i="1"/>
  <c r="N57" i="1"/>
  <c r="M57" i="1"/>
  <c r="M56" i="1"/>
  <c r="N56" i="1" s="1"/>
  <c r="J56" i="1"/>
  <c r="I56" i="1"/>
  <c r="M55" i="1"/>
  <c r="N55" i="1" s="1"/>
  <c r="P54" i="1"/>
  <c r="S54" i="1" s="1"/>
  <c r="M54" i="1"/>
  <c r="J54" i="1"/>
  <c r="N54" i="1" s="1"/>
  <c r="O54" i="1" s="1"/>
  <c r="I54" i="1"/>
  <c r="M53" i="1"/>
  <c r="N53" i="1" s="1"/>
  <c r="J53" i="1"/>
  <c r="I53" i="1"/>
  <c r="O52" i="1"/>
  <c r="N52" i="1"/>
  <c r="M52" i="1"/>
  <c r="J52" i="1"/>
  <c r="I52" i="1"/>
  <c r="M51" i="1"/>
  <c r="N51" i="1" s="1"/>
  <c r="P51" i="1" s="1"/>
  <c r="P50" i="1"/>
  <c r="O50" i="1"/>
  <c r="M50" i="1"/>
  <c r="J50" i="1"/>
  <c r="N50" i="1" s="1"/>
  <c r="I50" i="1"/>
  <c r="M49" i="1"/>
  <c r="N49" i="1" s="1"/>
  <c r="J49" i="1"/>
  <c r="I49" i="1"/>
  <c r="P48" i="1"/>
  <c r="M48" i="1"/>
  <c r="J48" i="1"/>
  <c r="N48" i="1" s="1"/>
  <c r="O48" i="1" s="1"/>
  <c r="I48" i="1"/>
  <c r="M47" i="1"/>
  <c r="N47" i="1" s="1"/>
  <c r="J47" i="1"/>
  <c r="I47" i="1"/>
  <c r="M46" i="1"/>
  <c r="J46" i="1"/>
  <c r="N46" i="1" s="1"/>
  <c r="P46" i="1" s="1"/>
  <c r="I46" i="1"/>
  <c r="N45" i="1"/>
  <c r="M45" i="1"/>
  <c r="J45" i="1"/>
  <c r="I45" i="1"/>
  <c r="N44" i="1"/>
  <c r="P43" i="1"/>
  <c r="N43" i="1"/>
  <c r="T42" i="1"/>
  <c r="Y42" i="1" s="1"/>
  <c r="P42" i="1"/>
  <c r="S42" i="1" s="1"/>
  <c r="N42" i="1"/>
  <c r="M41" i="1"/>
  <c r="N41" i="1" s="1"/>
  <c r="P41" i="1" s="1"/>
  <c r="J40" i="1"/>
  <c r="N40" i="1" s="1"/>
  <c r="P40" i="1" s="1"/>
  <c r="I40" i="1"/>
  <c r="N38" i="1"/>
  <c r="T38" i="1" s="1"/>
  <c r="M38" i="1"/>
  <c r="J38" i="1"/>
  <c r="M37" i="1"/>
  <c r="N37" i="1" s="1"/>
  <c r="J37" i="1"/>
  <c r="J36" i="1"/>
  <c r="N36" i="1" s="1"/>
  <c r="N35" i="1"/>
  <c r="P35" i="1" s="1"/>
  <c r="J35" i="1"/>
  <c r="P34" i="1"/>
  <c r="J34" i="1"/>
  <c r="N34" i="1" s="1"/>
  <c r="I34" i="1"/>
  <c r="M33" i="1"/>
  <c r="I33" i="1"/>
  <c r="M32" i="1"/>
  <c r="I32" i="1"/>
  <c r="D32" i="1"/>
  <c r="J32" i="1" s="1"/>
  <c r="M31" i="1"/>
  <c r="D31" i="1"/>
  <c r="J31" i="1" s="1"/>
  <c r="N31" i="1" s="1"/>
  <c r="T30" i="1"/>
  <c r="N30" i="1"/>
  <c r="N29" i="1"/>
  <c r="T29" i="1" s="1"/>
  <c r="G29" i="1"/>
  <c r="M28" i="1"/>
  <c r="J28" i="1"/>
  <c r="N28" i="1" s="1"/>
  <c r="I28" i="1"/>
  <c r="G28" i="1"/>
  <c r="J27" i="1"/>
  <c r="N27" i="1" s="1"/>
  <c r="T27" i="1" s="1"/>
  <c r="I27" i="1"/>
  <c r="G27" i="1"/>
  <c r="N26" i="1"/>
  <c r="T25" i="1"/>
  <c r="N25" i="1"/>
  <c r="J24" i="1"/>
  <c r="N24" i="1" s="1"/>
  <c r="I24" i="1"/>
  <c r="T23" i="1"/>
  <c r="P23" i="1"/>
  <c r="J23" i="1"/>
  <c r="N23" i="1" s="1"/>
  <c r="I23" i="1"/>
  <c r="Q22" i="1"/>
  <c r="M22" i="1"/>
  <c r="J22" i="1"/>
  <c r="N22" i="1" s="1"/>
  <c r="T22" i="1" s="1"/>
  <c r="I22" i="1"/>
  <c r="M21" i="1"/>
  <c r="J21" i="1"/>
  <c r="I21" i="1"/>
  <c r="Q20" i="1"/>
  <c r="Q2" i="1" s="1"/>
  <c r="N20" i="1"/>
  <c r="O20" i="1" s="1"/>
  <c r="W20" i="1" s="1"/>
  <c r="J20" i="1"/>
  <c r="M19" i="1"/>
  <c r="J19" i="1"/>
  <c r="N19" i="1" s="1"/>
  <c r="I19" i="1"/>
  <c r="J18" i="1"/>
  <c r="N18" i="1" s="1"/>
  <c r="I18" i="1"/>
  <c r="N17" i="1"/>
  <c r="T17" i="1" s="1"/>
  <c r="T16" i="1"/>
  <c r="S16" i="1"/>
  <c r="H16" i="1"/>
  <c r="T15" i="1"/>
  <c r="S15" i="1"/>
  <c r="N15" i="1"/>
  <c r="M14" i="1"/>
  <c r="J14" i="1"/>
  <c r="H14" i="1"/>
  <c r="T13" i="1"/>
  <c r="S13" i="1"/>
  <c r="H13" i="1"/>
  <c r="T12" i="1"/>
  <c r="S12" i="1"/>
  <c r="H9" i="1"/>
  <c r="F9" i="1"/>
  <c r="L2" i="1"/>
  <c r="K2" i="1"/>
  <c r="L3" i="1" s="1"/>
  <c r="F2" i="1"/>
  <c r="E2" i="1"/>
  <c r="D2" i="1"/>
  <c r="N21" i="1" l="1"/>
  <c r="T21" i="1" s="1"/>
  <c r="M2" i="1"/>
  <c r="N32" i="1"/>
  <c r="K7" i="2"/>
  <c r="E26" i="3"/>
  <c r="D33" i="1"/>
  <c r="J33" i="1" s="1"/>
  <c r="N33" i="1" s="1"/>
  <c r="P33" i="1" s="1"/>
  <c r="H19" i="4"/>
  <c r="H20" i="4" s="1"/>
  <c r="G20" i="4"/>
  <c r="E61" i="3"/>
  <c r="E63" i="3" s="1"/>
  <c r="I26" i="3"/>
  <c r="I61" i="3" s="1"/>
  <c r="I63" i="3" s="1"/>
  <c r="K20" i="2"/>
  <c r="K18" i="2"/>
  <c r="K19" i="2"/>
  <c r="J61" i="3"/>
  <c r="J63" i="3" s="1"/>
  <c r="M66" i="3" s="1"/>
  <c r="F61" i="3"/>
  <c r="K61" i="3"/>
  <c r="K63" i="3" s="1"/>
  <c r="O13" i="3"/>
  <c r="O14" i="3" s="1"/>
  <c r="N159" i="1"/>
  <c r="O159" i="1" s="1"/>
  <c r="S159" i="1" s="1"/>
  <c r="O110" i="1"/>
  <c r="U110" i="1" s="1"/>
  <c r="Y110" i="1" s="1"/>
  <c r="W110" i="1"/>
  <c r="W115" i="1"/>
  <c r="N120" i="1"/>
  <c r="O105" i="1"/>
  <c r="Y105" i="1" s="1"/>
  <c r="N109" i="1"/>
  <c r="P109" i="1" s="1"/>
  <c r="N121" i="1"/>
  <c r="N94" i="1"/>
  <c r="N88" i="1"/>
  <c r="O89" i="1"/>
  <c r="S89" i="1" s="1"/>
  <c r="N87" i="1"/>
  <c r="D20" i="4"/>
  <c r="H14" i="4"/>
  <c r="G63" i="3"/>
  <c r="H56" i="3" s="1"/>
  <c r="H54" i="3"/>
  <c r="H61" i="3"/>
  <c r="H10" i="3"/>
  <c r="H26" i="3" s="1"/>
  <c r="H17" i="3"/>
  <c r="H20" i="3"/>
  <c r="O48" i="3"/>
  <c r="H21" i="2"/>
  <c r="K21" i="2" s="1"/>
  <c r="K11" i="2"/>
  <c r="P31" i="1"/>
  <c r="O31" i="1"/>
  <c r="T31" i="1"/>
  <c r="P56" i="1"/>
  <c r="O56" i="1"/>
  <c r="S56" i="1" s="1"/>
  <c r="O32" i="1"/>
  <c r="P32" i="1"/>
  <c r="T32" i="1"/>
  <c r="P36" i="1"/>
  <c r="O36" i="1"/>
  <c r="S36" i="1" s="1"/>
  <c r="T36" i="1"/>
  <c r="O47" i="1"/>
  <c r="P47" i="1"/>
  <c r="S47" i="1"/>
  <c r="T47" i="1"/>
  <c r="W90" i="1"/>
  <c r="Y90" i="1" s="1"/>
  <c r="O18" i="1"/>
  <c r="S18" i="1" s="1"/>
  <c r="T18" i="1"/>
  <c r="O53" i="1"/>
  <c r="S53" i="1" s="1"/>
  <c r="P53" i="1"/>
  <c r="W64" i="1"/>
  <c r="Y64" i="1" s="1"/>
  <c r="P24" i="1"/>
  <c r="T24" i="1"/>
  <c r="P37" i="1"/>
  <c r="O37" i="1"/>
  <c r="S37" i="1"/>
  <c r="T37" i="1"/>
  <c r="U48" i="1"/>
  <c r="Y52" i="1"/>
  <c r="O55" i="1"/>
  <c r="Y55" i="1" s="1"/>
  <c r="P55" i="1"/>
  <c r="V60" i="1"/>
  <c r="V2" i="1" s="1"/>
  <c r="U60" i="1"/>
  <c r="Y60" i="1" s="1"/>
  <c r="P49" i="1"/>
  <c r="O49" i="1"/>
  <c r="S49" i="1" s="1"/>
  <c r="T49" i="1"/>
  <c r="W63" i="1"/>
  <c r="Y63" i="1"/>
  <c r="U45" i="1"/>
  <c r="P45" i="1"/>
  <c r="O45" i="1"/>
  <c r="U59" i="1"/>
  <c r="Y59" i="1" s="1"/>
  <c r="V59" i="1"/>
  <c r="W66" i="1"/>
  <c r="Y66" i="1" s="1"/>
  <c r="W72" i="1"/>
  <c r="Y72" i="1"/>
  <c r="W78" i="1"/>
  <c r="Y78" i="1" s="1"/>
  <c r="P87" i="1"/>
  <c r="O87" i="1"/>
  <c r="W120" i="1"/>
  <c r="O120" i="1"/>
  <c r="Y120" i="1" s="1"/>
  <c r="J2" i="1"/>
  <c r="O21" i="1"/>
  <c r="Y21" i="1" s="1"/>
  <c r="S23" i="1"/>
  <c r="O40" i="1"/>
  <c r="Y40" i="1" s="1"/>
  <c r="O51" i="1"/>
  <c r="U52" i="1"/>
  <c r="S57" i="1"/>
  <c r="P57" i="1"/>
  <c r="P61" i="1"/>
  <c r="S61" i="1"/>
  <c r="T19" i="1"/>
  <c r="S20" i="1"/>
  <c r="O22" i="1"/>
  <c r="Y22" i="1" s="1"/>
  <c r="P27" i="1"/>
  <c r="T41" i="1"/>
  <c r="Y41" i="1" s="1"/>
  <c r="P44" i="1"/>
  <c r="S44" i="1" s="1"/>
  <c r="T45" i="1"/>
  <c r="O46" i="1"/>
  <c r="T50" i="1"/>
  <c r="S50" i="1"/>
  <c r="U50" i="1"/>
  <c r="Y50" i="1" s="1"/>
  <c r="O57" i="1"/>
  <c r="P59" i="1"/>
  <c r="O62" i="1"/>
  <c r="Y62" i="1" s="1"/>
  <c r="P66" i="1"/>
  <c r="S66" i="1" s="1"/>
  <c r="W69" i="1"/>
  <c r="Y69" i="1" s="1"/>
  <c r="S71" i="1"/>
  <c r="P72" i="1"/>
  <c r="S72" i="1" s="1"/>
  <c r="W75" i="1"/>
  <c r="Y75" i="1" s="1"/>
  <c r="S77" i="1"/>
  <c r="P78" i="1"/>
  <c r="P81" i="1"/>
  <c r="W85" i="1"/>
  <c r="O85" i="1"/>
  <c r="P85" i="1"/>
  <c r="N14" i="1"/>
  <c r="S17" i="1"/>
  <c r="T20" i="1"/>
  <c r="Y20" i="1" s="1"/>
  <c r="S25" i="1"/>
  <c r="P25" i="1"/>
  <c r="O27" i="1"/>
  <c r="Y27" i="1" s="1"/>
  <c r="S30" i="1"/>
  <c r="P30" i="1"/>
  <c r="O34" i="1"/>
  <c r="S34" i="1" s="1"/>
  <c r="T34" i="1"/>
  <c r="S35" i="1"/>
  <c r="T35" i="1"/>
  <c r="T43" i="1"/>
  <c r="Y43" i="1" s="1"/>
  <c r="S43" i="1"/>
  <c r="T44" i="1"/>
  <c r="Y44" i="1" s="1"/>
  <c r="P52" i="1"/>
  <c r="S52" i="1" s="1"/>
  <c r="S59" i="1"/>
  <c r="P62" i="1"/>
  <c r="O67" i="1"/>
  <c r="P68" i="1"/>
  <c r="S68" i="1" s="1"/>
  <c r="S70" i="1"/>
  <c r="Y70" i="1"/>
  <c r="O73" i="1"/>
  <c r="S73" i="1" s="1"/>
  <c r="P74" i="1"/>
  <c r="S74" i="1" s="1"/>
  <c r="S76" i="1"/>
  <c r="Y76" i="1"/>
  <c r="S78" i="1"/>
  <c r="O79" i="1"/>
  <c r="O81" i="1"/>
  <c r="Y81" i="1" s="1"/>
  <c r="P82" i="1"/>
  <c r="S82" i="1" s="1"/>
  <c r="Y84" i="1"/>
  <c r="S84" i="1"/>
  <c r="P91" i="1"/>
  <c r="O91" i="1"/>
  <c r="Y91" i="1" s="1"/>
  <c r="U115" i="1"/>
  <c r="Y115" i="1" s="1"/>
  <c r="P38" i="1"/>
  <c r="S38" i="1" s="1"/>
  <c r="P26" i="1"/>
  <c r="S26" i="1" s="1"/>
  <c r="P29" i="1"/>
  <c r="S29" i="1" s="1"/>
  <c r="O38" i="1"/>
  <c r="S41" i="1"/>
  <c r="T48" i="1"/>
  <c r="Y48" i="1" s="1"/>
  <c r="S48" i="1"/>
  <c r="S63" i="1"/>
  <c r="P64" i="1"/>
  <c r="S64" i="1" s="1"/>
  <c r="P71" i="1"/>
  <c r="P77" i="1"/>
  <c r="W82" i="1"/>
  <c r="Y82" i="1" s="1"/>
  <c r="W89" i="1"/>
  <c r="Y89" i="1" s="1"/>
  <c r="O93" i="1"/>
  <c r="S93" i="1" s="1"/>
  <c r="O95" i="1"/>
  <c r="P95" i="1"/>
  <c r="O106" i="1"/>
  <c r="S106" i="1" s="1"/>
  <c r="P106" i="1"/>
  <c r="W106" i="1"/>
  <c r="O109" i="1"/>
  <c r="W109" i="1"/>
  <c r="P111" i="1"/>
  <c r="O111" i="1"/>
  <c r="W111" i="1"/>
  <c r="O154" i="1"/>
  <c r="S154" i="1" s="1"/>
  <c r="W154" i="1"/>
  <c r="O28" i="1"/>
  <c r="T28" i="1"/>
  <c r="T40" i="1"/>
  <c r="S46" i="1"/>
  <c r="T46" i="1"/>
  <c r="T51" i="1"/>
  <c r="S51" i="1"/>
  <c r="O58" i="1"/>
  <c r="Y58" i="1" s="1"/>
  <c r="P58" i="1"/>
  <c r="P60" i="1"/>
  <c r="S60" i="1" s="1"/>
  <c r="O65" i="1"/>
  <c r="S65" i="1" s="1"/>
  <c r="P65" i="1"/>
  <c r="W80" i="1"/>
  <c r="Y80" i="1" s="1"/>
  <c r="O88" i="1"/>
  <c r="P88" i="1"/>
  <c r="P90" i="1"/>
  <c r="S90" i="1" s="1"/>
  <c r="S108" i="1"/>
  <c r="W108" i="1"/>
  <c r="P108" i="1"/>
  <c r="O108" i="1"/>
  <c r="O121" i="1"/>
  <c r="Y121" i="1" s="1"/>
  <c r="W121" i="1"/>
  <c r="O19" i="1"/>
  <c r="S19" i="1" s="1"/>
  <c r="T26" i="1"/>
  <c r="P28" i="1"/>
  <c r="U54" i="1"/>
  <c r="Y54" i="1" s="1"/>
  <c r="O61" i="1"/>
  <c r="S80" i="1"/>
  <c r="S83" i="1"/>
  <c r="O83" i="1"/>
  <c r="P94" i="1"/>
  <c r="O94" i="1"/>
  <c r="O117" i="1"/>
  <c r="S117" i="1" s="1"/>
  <c r="W117" i="1"/>
  <c r="O92" i="1"/>
  <c r="S92" i="1" s="1"/>
  <c r="N96" i="1"/>
  <c r="O100" i="1"/>
  <c r="N101" i="1"/>
  <c r="O102" i="1"/>
  <c r="P103" i="1"/>
  <c r="S103" i="1" s="1"/>
  <c r="P105" i="1"/>
  <c r="S105" i="1" s="1"/>
  <c r="N112" i="1"/>
  <c r="O130" i="1"/>
  <c r="Y130" i="1" s="1"/>
  <c r="W137" i="1"/>
  <c r="Y137" i="1" s="1"/>
  <c r="S141" i="1"/>
  <c r="O141" i="1"/>
  <c r="Y141" i="1" s="1"/>
  <c r="W143" i="1"/>
  <c r="S146" i="1"/>
  <c r="O146" i="1"/>
  <c r="Y146" i="1" s="1"/>
  <c r="O148" i="1"/>
  <c r="Y148" i="1" s="1"/>
  <c r="Y99" i="1"/>
  <c r="O104" i="1"/>
  <c r="S104" i="1" s="1"/>
  <c r="O107" i="1"/>
  <c r="S107" i="1" s="1"/>
  <c r="W107" i="1"/>
  <c r="P113" i="1"/>
  <c r="O113" i="1"/>
  <c r="S113" i="1" s="1"/>
  <c r="O116" i="1"/>
  <c r="Y116" i="1" s="1"/>
  <c r="W119" i="1"/>
  <c r="N123" i="1"/>
  <c r="S126" i="1"/>
  <c r="O126" i="1"/>
  <c r="W126" i="1"/>
  <c r="N131" i="1"/>
  <c r="S132" i="1"/>
  <c r="O132" i="1"/>
  <c r="Y132" i="1" s="1"/>
  <c r="O136" i="1"/>
  <c r="Y136" i="1" s="1"/>
  <c r="N142" i="1"/>
  <c r="Y143" i="1"/>
  <c r="N147" i="1"/>
  <c r="S148" i="1"/>
  <c r="U151" i="1"/>
  <c r="Y151" i="1" s="1"/>
  <c r="W156" i="1"/>
  <c r="X156" i="1"/>
  <c r="O156" i="1"/>
  <c r="S156" i="1" s="1"/>
  <c r="S162" i="1"/>
  <c r="O162" i="1"/>
  <c r="S86" i="1"/>
  <c r="O97" i="1"/>
  <c r="O98" i="1"/>
  <c r="P99" i="1"/>
  <c r="S99" i="1" s="1"/>
  <c r="P104" i="1"/>
  <c r="P107" i="1"/>
  <c r="W116" i="1"/>
  <c r="O119" i="1"/>
  <c r="Y119" i="1" s="1"/>
  <c r="W129" i="1"/>
  <c r="O133" i="1"/>
  <c r="W133" i="1"/>
  <c r="W140" i="1"/>
  <c r="S140" i="1"/>
  <c r="W145" i="1"/>
  <c r="S145" i="1"/>
  <c r="S149" i="1"/>
  <c r="S151" i="1"/>
  <c r="O152" i="1"/>
  <c r="S157" i="1"/>
  <c r="X157" i="1"/>
  <c r="O157" i="1"/>
  <c r="O86" i="1"/>
  <c r="P97" i="1"/>
  <c r="S98" i="1"/>
  <c r="Y103" i="1"/>
  <c r="P110" i="1"/>
  <c r="S110" i="1" s="1"/>
  <c r="W113" i="1"/>
  <c r="W114" i="1"/>
  <c r="O114" i="1"/>
  <c r="S115" i="1"/>
  <c r="O118" i="1"/>
  <c r="Y118" i="1" s="1"/>
  <c r="S122" i="1"/>
  <c r="W128" i="1"/>
  <c r="O128" i="1"/>
  <c r="O129" i="1"/>
  <c r="W135" i="1"/>
  <c r="O135" i="1"/>
  <c r="Y135" i="1" s="1"/>
  <c r="S137" i="1"/>
  <c r="W138" i="1"/>
  <c r="Y138" i="1" s="1"/>
  <c r="S138" i="1"/>
  <c r="W139" i="1"/>
  <c r="O139" i="1"/>
  <c r="O140" i="1"/>
  <c r="S143" i="1"/>
  <c r="W144" i="1"/>
  <c r="Y144" i="1" s="1"/>
  <c r="S144" i="1"/>
  <c r="O145" i="1"/>
  <c r="Y145" i="1" s="1"/>
  <c r="O150" i="1"/>
  <c r="Y150" i="1" s="1"/>
  <c r="S150" i="1"/>
  <c r="W150" i="1"/>
  <c r="W157" i="1"/>
  <c r="U158" i="1"/>
  <c r="Y158" i="1" s="1"/>
  <c r="S158" i="1"/>
  <c r="X161" i="1"/>
  <c r="O161" i="1"/>
  <c r="W161" i="1"/>
  <c r="W125" i="1"/>
  <c r="Y125" i="1" s="1"/>
  <c r="S125" i="1"/>
  <c r="N127" i="1"/>
  <c r="O149" i="1"/>
  <c r="N153" i="1"/>
  <c r="X155" i="1"/>
  <c r="W155" i="1"/>
  <c r="X158" i="1"/>
  <c r="S164" i="1"/>
  <c r="S32" i="1" l="1"/>
  <c r="T33" i="1"/>
  <c r="O33" i="1"/>
  <c r="S33" i="1" s="1"/>
  <c r="D3" i="1"/>
  <c r="Y32" i="1"/>
  <c r="S31" i="1"/>
  <c r="H27" i="2"/>
  <c r="K27" i="2" s="1"/>
  <c r="H59" i="3"/>
  <c r="S109" i="1"/>
  <c r="Y108" i="1"/>
  <c r="S95" i="1"/>
  <c r="S45" i="1"/>
  <c r="S28" i="1"/>
  <c r="I67" i="3"/>
  <c r="H63" i="3"/>
  <c r="U161" i="1"/>
  <c r="Y161" i="1"/>
  <c r="U152" i="1"/>
  <c r="Y152" i="1" s="1"/>
  <c r="S136" i="1"/>
  <c r="S116" i="1"/>
  <c r="W88" i="1"/>
  <c r="Y88" i="1" s="1"/>
  <c r="Y111" i="1"/>
  <c r="U149" i="1"/>
  <c r="Y149" i="1" s="1"/>
  <c r="S161" i="1"/>
  <c r="Y140" i="1"/>
  <c r="Y157" i="1"/>
  <c r="U157" i="1"/>
  <c r="S152" i="1"/>
  <c r="Y133" i="1"/>
  <c r="U162" i="1"/>
  <c r="Y162" i="1" s="1"/>
  <c r="O147" i="1"/>
  <c r="W147" i="1"/>
  <c r="S147" i="1"/>
  <c r="Y126" i="1"/>
  <c r="Y113" i="1"/>
  <c r="S130" i="1"/>
  <c r="P96" i="1"/>
  <c r="O96" i="1"/>
  <c r="Y117" i="1"/>
  <c r="Y61" i="1"/>
  <c r="U61" i="1"/>
  <c r="S121" i="1"/>
  <c r="S111" i="1"/>
  <c r="W95" i="1"/>
  <c r="Y95" i="1" s="1"/>
  <c r="W67" i="1"/>
  <c r="Y67" i="1"/>
  <c r="O14" i="1"/>
  <c r="N2" i="1"/>
  <c r="T14" i="1"/>
  <c r="S81" i="1"/>
  <c r="S55" i="1"/>
  <c r="S24" i="1"/>
  <c r="Y36" i="1"/>
  <c r="S153" i="1"/>
  <c r="X153" i="1"/>
  <c r="X2" i="1" s="1"/>
  <c r="W153" i="1"/>
  <c r="S135" i="1"/>
  <c r="Y114" i="1"/>
  <c r="S114" i="1"/>
  <c r="O142" i="1"/>
  <c r="Y142" i="1" s="1"/>
  <c r="S142" i="1"/>
  <c r="W142" i="1"/>
  <c r="S119" i="1"/>
  <c r="Y107" i="1"/>
  <c r="W94" i="1"/>
  <c r="Y94" i="1" s="1"/>
  <c r="Y28" i="1"/>
  <c r="W73" i="1"/>
  <c r="Y73" i="1"/>
  <c r="W87" i="1"/>
  <c r="Y87" i="1" s="1"/>
  <c r="O127" i="1"/>
  <c r="Y127" i="1" s="1"/>
  <c r="S127" i="1"/>
  <c r="W127" i="1"/>
  <c r="Y139" i="1"/>
  <c r="S139" i="1"/>
  <c r="Y129" i="1"/>
  <c r="W86" i="1"/>
  <c r="Y86" i="1" s="1"/>
  <c r="S129" i="1"/>
  <c r="W98" i="1"/>
  <c r="Y98" i="1" s="1"/>
  <c r="S118" i="1"/>
  <c r="W104" i="1"/>
  <c r="Y104" i="1" s="1"/>
  <c r="W112" i="1"/>
  <c r="P112" i="1"/>
  <c r="O112" i="1"/>
  <c r="Y112" i="1" s="1"/>
  <c r="W102" i="1"/>
  <c r="Y102" i="1" s="1"/>
  <c r="S102" i="1"/>
  <c r="W92" i="1"/>
  <c r="Y92" i="1" s="1"/>
  <c r="W83" i="1"/>
  <c r="Y83" i="1" s="1"/>
  <c r="S88" i="1"/>
  <c r="S40" i="1"/>
  <c r="S133" i="1"/>
  <c r="Y109" i="1"/>
  <c r="Y106" i="1"/>
  <c r="W93" i="1"/>
  <c r="Y93" i="1" s="1"/>
  <c r="Y57" i="1"/>
  <c r="U57" i="1"/>
  <c r="U46" i="1"/>
  <c r="U2" i="1" s="1"/>
  <c r="Y46" i="1"/>
  <c r="S67" i="1"/>
  <c r="S58" i="1"/>
  <c r="Y51" i="1"/>
  <c r="S120" i="1"/>
  <c r="S22" i="1"/>
  <c r="U47" i="1"/>
  <c r="Y47" i="1" s="1"/>
  <c r="U56" i="1"/>
  <c r="Y56" i="1" s="1"/>
  <c r="W97" i="1"/>
  <c r="Y97" i="1" s="1"/>
  <c r="U156" i="1"/>
  <c r="Y156" i="1"/>
  <c r="O123" i="1"/>
  <c r="S123" i="1"/>
  <c r="W123" i="1"/>
  <c r="O101" i="1"/>
  <c r="P101" i="1"/>
  <c r="S91" i="1"/>
  <c r="W79" i="1"/>
  <c r="Y79" i="1" s="1"/>
  <c r="Y85" i="1"/>
  <c r="S85" i="1"/>
  <c r="S27" i="1"/>
  <c r="S62" i="1"/>
  <c r="S87" i="1"/>
  <c r="Y45" i="1"/>
  <c r="Y53" i="1"/>
  <c r="U53" i="1"/>
  <c r="Y128" i="1"/>
  <c r="S128" i="1"/>
  <c r="O131" i="1"/>
  <c r="Y131" i="1" s="1"/>
  <c r="W131" i="1"/>
  <c r="S97" i="1"/>
  <c r="W100" i="1"/>
  <c r="Y100" i="1" s="1"/>
  <c r="S100" i="1"/>
  <c r="W65" i="1"/>
  <c r="Y154" i="1"/>
  <c r="S79" i="1"/>
  <c r="U49" i="1"/>
  <c r="Y49" i="1"/>
  <c r="S94" i="1"/>
  <c r="P2" i="1" l="1"/>
  <c r="W101" i="1"/>
  <c r="Y101" i="1" s="1"/>
  <c r="O2" i="1"/>
  <c r="Z2" i="1" s="1"/>
  <c r="Y65" i="1"/>
  <c r="S112" i="1"/>
  <c r="S96" i="1"/>
  <c r="S131" i="1"/>
  <c r="S101" i="1"/>
  <c r="Y123" i="1"/>
  <c r="W96" i="1"/>
  <c r="W2" i="1" s="1"/>
  <c r="Y96" i="1"/>
  <c r="S14" i="1"/>
  <c r="Y147" i="1"/>
  <c r="S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tc={45164ACA-1231-4349-A216-449CE0F27485}</author>
  </authors>
  <commentList>
    <comment ref="J19" authorId="0" shapeId="0" xr:uid="{45164ACA-1231-4349-A216-449CE0F27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<sst xmlns="http://schemas.openxmlformats.org/spreadsheetml/2006/main" count="698" uniqueCount="404">
  <si>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</si>
  <si>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</si>
  <si>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</si>
  <si>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</si>
  <si>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</si>
  <si>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</si>
  <si>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</si>
  <si>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</si>
  <si>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</si>
  <si>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</si>
  <si>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</si>
  <si>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</si>
  <si>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</si>
  <si>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</si>
  <si>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</si>
  <si>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</si>
  <si>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</si>
  <si>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</si>
  <si>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</si>
  <si>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</si>
  <si>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</si>
  <si>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</si>
  <si>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</si>
  <si>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</si>
  <si>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</si>
  <si>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</si>
  <si>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</si>
  <si>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</si>
  <si>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</si>
  <si>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</si>
  <si>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</si>
  <si>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</si>
  <si>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</si>
  <si>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</si>
  <si>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</si>
  <si>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</si>
  <si>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</si>
  <si>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</si>
  <si>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</si>
  <si>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</si>
  <si>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</si>
  <si>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Caja chica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</si>
  <si>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</si>
  <si>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</si>
  <si>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</si>
  <si>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</si>
  <si>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</si>
  <si>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0004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</si>
  <si>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</si>
  <si>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</si>
  <si>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</si>
  <si>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</si>
  <si>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</si>
  <si>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</si>
  <si>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</si>
  <si>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</si>
  <si>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</si>
  <si>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</si>
  <si>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</si>
  <si>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</si>
  <si>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</si>
  <si>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</si>
  <si>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</si>
  <si>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</si>
  <si>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</si>
  <si>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</si>
  <si>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</si>
  <si>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</si>
  <si>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</si>
  <si>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</si>
  <si>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</si>
  <si>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</si>
  <si>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</si>
  <si>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</si>
  <si>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</si>
  <si>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</si>
  <si>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</si>
  <si>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</si>
  <si>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</si>
  <si>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</si>
  <si>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</si>
  <si>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</si>
  <si>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</si>
  <si>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</si>
  <si>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</si>
  <si>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</si>
  <si>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</si>
  <si>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</si>
  <si>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</si>
  <si>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Sueldos al personal contratado y/o igualado</t>
  </si>
  <si>
    <t>Sueldo al personal nominal en periodo probatorio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</si>
  <si>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</si>
  <si>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</si>
  <si>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</si>
  <si>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</si>
  <si>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</si>
  <si>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</si>
  <si>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</si>
  <si>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</si>
  <si>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</si>
  <si>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</si>
  <si>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</si>
  <si>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</si>
  <si>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</si>
  <si>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</si>
  <si>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</si>
  <si>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</si>
  <si>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</si>
  <si>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</si>
  <si>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</si>
  <si>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</si>
  <si>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</si>
  <si>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</si>
  <si>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</si>
  <si>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</si>
  <si>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</si>
  <si>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</si>
  <si>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</si>
  <si>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</si>
  <si>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</si>
  <si>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</si>
  <si>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</si>
  <si>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</si>
  <si>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</si>
  <si>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</si>
  <si>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</si>
  <si>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</si>
  <si>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</si>
  <si>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</si>
  <si>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</si>
  <si>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</si>
  <si>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</si>
  <si>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</si>
  <si>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</si>
  <si>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</si>
  <si>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</si>
  <si>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</si>
  <si>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</si>
  <si>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</si>
  <si>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</si>
  <si>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</si>
  <si>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</si>
  <si>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</si>
  <si>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</si>
  <si>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</si>
  <si>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</si>
  <si>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</si>
  <si>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</si>
  <si>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</si>
  <si>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</si>
  <si>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</si>
  <si>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</si>
  <si>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</si>
  <si>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</si>
  <si>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</si>
  <si>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</si>
  <si>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</si>
  <si>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</si>
  <si>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</si>
  <si>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</si>
  <si>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</si>
  <si>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</si>
  <si>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</si>
  <si>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</si>
  <si>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</si>
  <si>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</si>
  <si>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</si>
  <si>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</si>
  <si>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</si>
  <si>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</si>
  <si>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</si>
  <si>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</si>
  <si>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</si>
  <si>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</si>
  <si>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</si>
  <si>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</si>
  <si>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</si>
  <si>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</si>
  <si>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</si>
  <si>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</si>
  <si>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</si>
  <si>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</si>
  <si>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</si>
  <si>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</si>
  <si>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</si>
  <si>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</si>
  <si>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</si>
  <si>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</si>
  <si>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</si>
  <si>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</si>
  <si>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</si>
  <si>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</si>
  <si>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</si>
  <si>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</si>
  <si>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</si>
  <si>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</si>
  <si>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</si>
  <si>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</si>
  <si>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</si>
  <si>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</si>
  <si>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</si>
  <si>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</si>
  <si>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</si>
  <si>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</si>
  <si>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</si>
  <si>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</si>
  <si>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</si>
  <si>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</si>
  <si>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</si>
  <si>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</si>
  <si>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</si>
  <si>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</si>
  <si>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</si>
  <si>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</si>
  <si>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</si>
  <si>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</si>
  <si>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</si>
  <si>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</si>
  <si>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</si>
  <si>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</si>
  <si>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</si>
  <si>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</si>
  <si>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</si>
  <si>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</si>
  <si>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</si>
  <si>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</si>
  <si>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</si>
  <si>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</si>
  <si>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</si>
  <si>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</si>
  <si>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</si>
  <si>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</si>
  <si>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</si>
  <si>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</si>
  <si>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</si>
  <si>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</si>
  <si>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</si>
  <si>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</si>
  <si>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</si>
  <si>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</si>
  <si>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</si>
  <si>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</si>
  <si>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</si>
  <si>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</si>
  <si>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</si>
  <si>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</si>
  <si>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</si>
  <si>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</si>
  <si>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</si>
  <si>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</si>
  <si>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</si>
  <si>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</si>
  <si>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</si>
  <si>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</si>
  <si>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</si>
  <si>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Transferencias corrientes a asociaciones sin fines de lucro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</si>
  <si>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</si>
  <si>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</si>
  <si>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</si>
  <si>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</si>
  <si>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</si>
  <si>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</si>
  <si>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</si>
  <si>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</si>
  <si>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</si>
  <si>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</si>
  <si>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</si>
  <si>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</si>
  <si>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</si>
  <si>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</si>
  <si>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</si>
  <si>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</si>
  <si>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</si>
  <si>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</si>
  <si>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</si>
  <si>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</si>
  <si>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</si>
  <si>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</si>
  <si>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</si>
  <si>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</si>
  <si>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</si>
  <si>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</si>
  <si>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</si>
  <si>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</si>
  <si>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</si>
  <si>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</si>
  <si>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</si>
  <si>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</si>
  <si>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</si>
  <si>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</si>
  <si>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</si>
  <si>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</si>
  <si>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</si>
  <si>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</si>
  <si>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</si>
  <si>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</si>
  <si>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</si>
  <si>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</si>
  <si>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</si>
  <si>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</si>
  <si>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</si>
  <si>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</si>
  <si>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</si>
  <si>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</si>
  <si>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</si>
  <si>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</si>
  <si>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</si>
  <si>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</si>
  <si>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</si>
  <si>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</si>
  <si>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</si>
  <si>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</si>
  <si>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</si>
  <si>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</si>
  <si>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</si>
  <si>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</si>
  <si>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</si>
  <si>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</si>
  <si>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</si>
  <si>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</si>
  <si>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</si>
  <si>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</si>
  <si>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</si>
  <si>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</si>
  <si>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</si>
  <si>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</si>
  <si>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</si>
  <si>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</si>
  <si>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</si>
  <si>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</si>
  <si>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</si>
  <si>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</si>
  <si>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</si>
  <si>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</si>
  <si>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</si>
  <si>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</si>
  <si>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</si>
  <si>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</si>
  <si>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</si>
  <si>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</si>
  <si>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</si>
  <si>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</si>
  <si>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</si>
  <si>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</si>
  <si>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</si>
  <si>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</si>
  <si>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</si>
  <si>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</si>
  <si>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01 de enero de 2021</t>
  </si>
  <si>
    <t>Cambio en políticas contables</t>
  </si>
  <si>
    <t>Revaluación de Propiedad, planta y equipo</t>
  </si>
  <si>
    <t xml:space="preserve">Ajuste al patrimonio </t>
  </si>
  <si>
    <t>Saldo al 31 de diciembre de 2021</t>
  </si>
  <si>
    <t>Efecto del gasto de depreciación de los activos revaluados</t>
  </si>
  <si>
    <t>Saldo al 31 de marzo del 2022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</si>
  <si>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</si>
  <si>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</si>
  <si>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</si>
  <si>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</si>
  <si>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</si>
  <si>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</si>
  <si>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</si>
  <si>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</si>
  <si>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</si>
  <si>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</si>
  <si>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</si>
  <si>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</si>
  <si>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</si>
  <si>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</si>
  <si>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</si>
  <si>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</si>
  <si>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</si>
  <si>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</si>
  <si>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</si>
  <si>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</si>
  <si>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</si>
  <si>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</si>
  <si>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</si>
  <si>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</si>
  <si>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</si>
  <si>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</si>
  <si>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</si>
  <si>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</si>
  <si>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</si>
  <si>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</si>
  <si>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</si>
  <si>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</si>
  <si>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</si>
  <si>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</si>
  <si>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</si>
  <si>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</si>
  <si>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</si>
  <si>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</si>
  <si>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</si>
  <si>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</si>
  <si>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</si>
  <si>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</si>
  <si>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</si>
  <si>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</si>
  <si>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</si>
  <si>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Al 30 de Abril de 2022</t>
  </si>
  <si>
    <t>Correspondiente al 30 del mes de abril del año 2022</t>
  </si>
  <si>
    <t>Correspondiente al 30 abril del 2022</t>
  </si>
  <si>
    <t>Ingresos extrapresupuestarios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</si>
</sst>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98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41" fontId="27" fillId="2" borderId="8" xfId="0" applyNumberFormat="1" applyFont="1" applyFill="1" applyBorder="1"/>
    <xf numFmtId="41" fontId="27" fillId="0" borderId="8" xfId="0" applyNumberFormat="1" applyFont="1" applyBorder="1"/>
    <xf numFmtId="41" fontId="27" fillId="0" borderId="8" xfId="0" applyNumberFormat="1" applyFont="1" applyBorder="1" applyAlignment="1">
      <alignment vertical="center"/>
    </xf>
    <xf numFmtId="41" fontId="29" fillId="0" borderId="8" xfId="0" applyNumberFormat="1" applyFont="1" applyBorder="1"/>
    <xf numFmtId="41" fontId="29" fillId="0" borderId="8" xfId="0" applyNumberFormat="1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5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Normal" xfId="0" builtinId="0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2500313</xdr:colOff>
      <xdr:row>0</xdr:row>
      <xdr:rowOff>47625</xdr:rowOff>
    </xdr:from>
    <xdr:to>
      <xdr:col>0</xdr:col>
      <xdr:colOff>4957763</xdr:colOff>
      <xdr:row>0</xdr:row>
      <xdr:rowOff>1266825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B1CF12-EBF0-421F-99C9-CC75D3EED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3" y="47625"/>
          <a:ext cx="24574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215900</xdr:colOff>
      <xdr:row>1</xdr:row>
      <xdr:rowOff>38100</xdr:rowOff>
    </xdr:from>
    <xdr:to>
      <xdr:col>5</xdr:col>
      <xdr:colOff>285750</xdr:colOff>
      <xdr:row>1</xdr:row>
      <xdr:rowOff>1168400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E3B487-3C21-403C-A5E1-93EB88381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9200" y="228600"/>
          <a:ext cx="24574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Cuentas%20por%20pagar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 refreshError="1"/>
      <sheetData sheetId="1" refreshError="1"/>
      <sheetData sheetId="2" refreshError="1">
        <row r="19">
          <cell r="H19">
            <v>2021</v>
          </cell>
        </row>
      </sheetData>
      <sheetData sheetId="3" refreshError="1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9"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6509040.5499999998</v>
          </cell>
        </row>
        <row r="15">
          <cell r="D15">
            <v>-416700.07</v>
          </cell>
        </row>
        <row r="16">
          <cell r="A16" t="str">
            <v>0001</v>
          </cell>
          <cell r="D16">
            <v>10296496.189999999</v>
          </cell>
        </row>
        <row r="17">
          <cell r="A17" t="str">
            <v>0001</v>
          </cell>
          <cell r="D17">
            <v>1275461.1100000001</v>
          </cell>
        </row>
        <row r="18">
          <cell r="A18" t="str">
            <v>0004</v>
          </cell>
          <cell r="D18">
            <v>0</v>
          </cell>
        </row>
        <row r="19">
          <cell r="A19" t="str">
            <v>0005</v>
          </cell>
          <cell r="D19">
            <v>1032932.73</v>
          </cell>
        </row>
        <row r="20">
          <cell r="A20" t="str">
            <v>0006</v>
          </cell>
        </row>
        <row r="21">
          <cell r="A21" t="str">
            <v>0012</v>
          </cell>
          <cell r="D21">
            <v>177720623.99000001</v>
          </cell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-11393772.779999999</v>
          </cell>
        </row>
        <row r="28">
          <cell r="A28" t="str">
            <v>0019</v>
          </cell>
          <cell r="D28">
            <v>-474803.48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18555016.600000001</v>
          </cell>
        </row>
        <row r="33">
          <cell r="A33" t="str">
            <v>0032</v>
          </cell>
          <cell r="D33">
            <v>1752022.320000004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-1075000</v>
          </cell>
          <cell r="M37">
            <v>0</v>
          </cell>
        </row>
        <row r="38">
          <cell r="A38" t="str">
            <v>0037</v>
          </cell>
          <cell r="D38">
            <v>-15210014.550000001</v>
          </cell>
          <cell r="M38">
            <v>0</v>
          </cell>
        </row>
        <row r="39">
          <cell r="A39" t="str">
            <v>0038</v>
          </cell>
          <cell r="D39">
            <v>-135000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9200834.129999999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1262480.7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792019.94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1229067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42776</v>
          </cell>
        </row>
        <row r="159">
          <cell r="A159" t="str">
            <v>0042</v>
          </cell>
          <cell r="D159">
            <v>2098038.46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2">
          <cell r="F162">
            <v>12527177.77</v>
          </cell>
        </row>
        <row r="167">
          <cell r="F167">
            <v>-6323255.1400000006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 refreshError="1"/>
      <sheetData sheetId="1" refreshError="1"/>
      <sheetData sheetId="2" refreshError="1"/>
      <sheetData sheetId="3"/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22"/>
      <sheetName val="Marzo 2022"/>
    </sheetNames>
    <sheetDataSet>
      <sheetData sheetId="0">
        <row r="72">
          <cell r="L72"/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8EF21DB9-CCB7-49E9-A594-1720173CA7CC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8EF21DB9-CCB7-49E9-A594-1720173CA7CC}" id="{45164ACA-1231-4349-A216-449CE0F27485}">
    <text>=416347.99+25779.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80" bestFit="1" customWidth="1"/>
    <col min="3" max="3" width="17.140625" style="180" customWidth="1"/>
    <col min="4" max="4" width="16" customWidth="1"/>
    <col min="5" max="6" width="14.140625" bestFit="1" customWidth="1"/>
  </cols>
  <sheetData>
    <row r="3" spans="1:6" s="173" customFormat="1" x14ac:dyDescent="0.25">
      <c r="A3" s="171" t="s">
        <v>358</v>
      </c>
      <c r="B3" s="172" t="s">
        <v>359</v>
      </c>
      <c r="C3" s="172" t="s">
        <v>360</v>
      </c>
      <c r="D3" s="171" t="s">
        <v>361</v>
      </c>
      <c r="E3" s="171" t="s">
        <v>361</v>
      </c>
    </row>
    <row r="4" spans="1:6" x14ac:dyDescent="0.25">
      <c r="A4" s="174" t="s">
        <v>362</v>
      </c>
      <c r="B4" s="175"/>
      <c r="C4" s="176">
        <v>7194666.6300000008</v>
      </c>
      <c r="D4" s="177">
        <f>B4+C4</f>
        <v>7194666.6300000008</v>
      </c>
      <c r="E4" s="183">
        <f>D4+D5+D6</f>
        <v>8241416.6300000008</v>
      </c>
    </row>
    <row r="5" spans="1:6" x14ac:dyDescent="0.25">
      <c r="A5" s="174" t="s">
        <v>363</v>
      </c>
      <c r="B5" s="175"/>
      <c r="C5" s="176">
        <v>983250</v>
      </c>
      <c r="D5" s="177">
        <f t="shared" ref="D5:D55" si="0">B5+C5</f>
        <v>983250</v>
      </c>
      <c r="E5" s="183"/>
    </row>
    <row r="6" spans="1:6" x14ac:dyDescent="0.25">
      <c r="A6" s="174" t="s">
        <v>364</v>
      </c>
      <c r="B6" s="175"/>
      <c r="C6" s="176">
        <v>63500</v>
      </c>
      <c r="D6" s="177">
        <f t="shared" si="0"/>
        <v>63500</v>
      </c>
      <c r="E6" s="183"/>
    </row>
    <row r="7" spans="1:6" x14ac:dyDescent="0.25">
      <c r="A7" s="174" t="s">
        <v>365</v>
      </c>
      <c r="B7" s="175"/>
      <c r="C7" s="176">
        <v>256000</v>
      </c>
      <c r="D7" s="177">
        <f t="shared" si="0"/>
        <v>256000</v>
      </c>
      <c r="E7" s="182">
        <f>D7+D8</f>
        <v>865617.5</v>
      </c>
    </row>
    <row r="8" spans="1:6" x14ac:dyDescent="0.25">
      <c r="A8" s="174" t="s">
        <v>366</v>
      </c>
      <c r="B8" s="175"/>
      <c r="C8" s="176">
        <v>609617.5</v>
      </c>
      <c r="D8" s="177">
        <f t="shared" si="0"/>
        <v>609617.5</v>
      </c>
      <c r="E8" s="182"/>
    </row>
    <row r="9" spans="1:6" x14ac:dyDescent="0.25">
      <c r="A9" s="174" t="s">
        <v>367</v>
      </c>
      <c r="B9" s="176">
        <v>73900</v>
      </c>
      <c r="C9" s="175"/>
      <c r="D9" s="177">
        <f t="shared" si="0"/>
        <v>73900</v>
      </c>
      <c r="E9" s="177">
        <f>D9</f>
        <v>73900</v>
      </c>
      <c r="F9" s="115">
        <f>E4+E7+E9</f>
        <v>9180934.1300000008</v>
      </c>
    </row>
    <row r="10" spans="1:6" x14ac:dyDescent="0.25">
      <c r="A10" s="174" t="s">
        <v>368</v>
      </c>
      <c r="B10" s="175"/>
      <c r="C10" s="176">
        <v>581666.55999999994</v>
      </c>
      <c r="D10" s="177">
        <f t="shared" si="0"/>
        <v>581666.55999999994</v>
      </c>
      <c r="E10" s="182">
        <f>D10+D11+D12</f>
        <v>1261449.5699999998</v>
      </c>
    </row>
    <row r="11" spans="1:6" x14ac:dyDescent="0.25">
      <c r="A11" s="174" t="s">
        <v>369</v>
      </c>
      <c r="B11" s="175"/>
      <c r="C11" s="176">
        <v>585140.61</v>
      </c>
      <c r="D11" s="177">
        <f t="shared" si="0"/>
        <v>585140.61</v>
      </c>
      <c r="E11" s="182"/>
    </row>
    <row r="12" spans="1:6" x14ac:dyDescent="0.25">
      <c r="A12" s="174" t="s">
        <v>370</v>
      </c>
      <c r="B12" s="175"/>
      <c r="C12" s="176">
        <v>94642.4</v>
      </c>
      <c r="D12" s="177">
        <f t="shared" si="0"/>
        <v>94642.4</v>
      </c>
      <c r="E12" s="182"/>
    </row>
    <row r="13" spans="1:6" x14ac:dyDescent="0.25">
      <c r="A13" s="174" t="s">
        <v>371</v>
      </c>
      <c r="B13" s="175"/>
      <c r="C13" s="176">
        <v>444674.81</v>
      </c>
      <c r="D13" s="177">
        <f t="shared" si="0"/>
        <v>444674.81</v>
      </c>
      <c r="E13" s="182">
        <f>D13+D14+D15+D16+D17+D18+D19+D20+D21+D22+D23+D24+D25+D26+D27+D28+D29+D30+D31</f>
        <v>8118143.3100000015</v>
      </c>
    </row>
    <row r="14" spans="1:6" x14ac:dyDescent="0.25">
      <c r="A14" s="174" t="s">
        <v>372</v>
      </c>
      <c r="B14" s="175"/>
      <c r="C14" s="176">
        <v>198857.06</v>
      </c>
      <c r="D14" s="177">
        <f t="shared" si="0"/>
        <v>198857.06</v>
      </c>
      <c r="E14" s="182"/>
    </row>
    <row r="15" spans="1:6" x14ac:dyDescent="0.25">
      <c r="A15" s="174" t="s">
        <v>373</v>
      </c>
      <c r="B15" s="175"/>
      <c r="C15" s="176">
        <v>425843.62</v>
      </c>
      <c r="D15" s="177">
        <f t="shared" si="0"/>
        <v>425843.62</v>
      </c>
      <c r="E15" s="182"/>
    </row>
    <row r="16" spans="1:6" x14ac:dyDescent="0.25">
      <c r="A16" s="174" t="s">
        <v>374</v>
      </c>
      <c r="B16" s="176">
        <v>108762.5</v>
      </c>
      <c r="C16" s="175"/>
      <c r="D16" s="177">
        <f t="shared" si="0"/>
        <v>108762.5</v>
      </c>
      <c r="E16" s="182"/>
    </row>
    <row r="17" spans="1:5" x14ac:dyDescent="0.25">
      <c r="A17" s="174" t="s">
        <v>375</v>
      </c>
      <c r="B17" s="175">
        <v>1140600</v>
      </c>
      <c r="C17" s="176">
        <v>1307050</v>
      </c>
      <c r="D17" s="177">
        <f t="shared" si="0"/>
        <v>2447650</v>
      </c>
      <c r="E17" s="182"/>
    </row>
    <row r="18" spans="1:5" x14ac:dyDescent="0.25">
      <c r="A18" s="174" t="s">
        <v>376</v>
      </c>
      <c r="B18" s="176">
        <v>485.52</v>
      </c>
      <c r="C18" s="175"/>
      <c r="D18" s="177">
        <f t="shared" si="0"/>
        <v>485.52</v>
      </c>
      <c r="E18" s="182"/>
    </row>
    <row r="19" spans="1:5" x14ac:dyDescent="0.25">
      <c r="A19" s="174" t="s">
        <v>377</v>
      </c>
      <c r="B19" s="176">
        <v>48079.98</v>
      </c>
      <c r="C19" s="175"/>
      <c r="D19" s="177">
        <f t="shared" si="0"/>
        <v>48079.98</v>
      </c>
      <c r="E19" s="182"/>
    </row>
    <row r="20" spans="1:5" x14ac:dyDescent="0.25">
      <c r="A20" s="174" t="s">
        <v>378</v>
      </c>
      <c r="B20" s="176">
        <v>141603.75</v>
      </c>
      <c r="C20" s="175"/>
      <c r="D20" s="177">
        <f t="shared" si="0"/>
        <v>141603.75</v>
      </c>
      <c r="E20" s="182"/>
    </row>
    <row r="21" spans="1:5" x14ac:dyDescent="0.25">
      <c r="A21" s="174" t="s">
        <v>379</v>
      </c>
      <c r="B21" s="175"/>
      <c r="C21" s="176">
        <v>3599499</v>
      </c>
      <c r="D21" s="177">
        <f t="shared" si="0"/>
        <v>3599499</v>
      </c>
      <c r="E21" s="182"/>
    </row>
    <row r="22" spans="1:5" x14ac:dyDescent="0.25">
      <c r="A22" s="174" t="s">
        <v>380</v>
      </c>
      <c r="B22" s="176">
        <v>22233.97</v>
      </c>
      <c r="C22" s="175"/>
      <c r="D22" s="177">
        <f t="shared" si="0"/>
        <v>22233.97</v>
      </c>
      <c r="E22" s="182"/>
    </row>
    <row r="23" spans="1:5" x14ac:dyDescent="0.25">
      <c r="A23" s="174" t="s">
        <v>381</v>
      </c>
      <c r="B23" s="176">
        <v>88048.57</v>
      </c>
      <c r="C23" s="175"/>
      <c r="D23" s="177">
        <f t="shared" si="0"/>
        <v>88048.57</v>
      </c>
      <c r="E23" s="182"/>
    </row>
    <row r="24" spans="1:5" x14ac:dyDescent="0.25">
      <c r="A24" s="174" t="s">
        <v>382</v>
      </c>
      <c r="B24" s="176">
        <v>12567</v>
      </c>
      <c r="C24" s="175"/>
      <c r="D24" s="177">
        <f t="shared" si="0"/>
        <v>12567</v>
      </c>
      <c r="E24" s="182"/>
    </row>
    <row r="25" spans="1:5" x14ac:dyDescent="0.25">
      <c r="A25" s="174" t="s">
        <v>383</v>
      </c>
      <c r="B25" s="176">
        <v>48025</v>
      </c>
      <c r="C25" s="175"/>
      <c r="D25" s="177">
        <f t="shared" si="0"/>
        <v>48025</v>
      </c>
      <c r="E25" s="182"/>
    </row>
    <row r="26" spans="1:5" x14ac:dyDescent="0.25">
      <c r="A26" s="174" t="s">
        <v>384</v>
      </c>
      <c r="B26" s="175"/>
      <c r="C26" s="176">
        <v>33333.32</v>
      </c>
      <c r="D26" s="177">
        <f t="shared" si="0"/>
        <v>33333.32</v>
      </c>
      <c r="E26" s="182"/>
    </row>
    <row r="27" spans="1:5" x14ac:dyDescent="0.25">
      <c r="A27" s="174" t="s">
        <v>155</v>
      </c>
      <c r="B27" s="176">
        <v>28500</v>
      </c>
      <c r="C27" s="175"/>
      <c r="D27" s="177">
        <f t="shared" si="0"/>
        <v>28500</v>
      </c>
      <c r="E27" s="182"/>
    </row>
    <row r="28" spans="1:5" x14ac:dyDescent="0.25">
      <c r="A28" s="174" t="s">
        <v>385</v>
      </c>
      <c r="B28" s="176">
        <v>223840.29</v>
      </c>
      <c r="C28" s="176">
        <v>80000</v>
      </c>
      <c r="D28" s="177">
        <f t="shared" si="0"/>
        <v>303840.29000000004</v>
      </c>
      <c r="E28" s="182"/>
    </row>
    <row r="29" spans="1:5" x14ac:dyDescent="0.25">
      <c r="A29" s="174" t="s">
        <v>386</v>
      </c>
      <c r="B29" s="176">
        <v>87434.44</v>
      </c>
      <c r="C29" s="175"/>
      <c r="D29" s="177">
        <f t="shared" si="0"/>
        <v>87434.44</v>
      </c>
      <c r="E29" s="182"/>
    </row>
    <row r="30" spans="1:5" x14ac:dyDescent="0.25">
      <c r="A30" s="174" t="s">
        <v>387</v>
      </c>
      <c r="B30" s="176">
        <v>1254.73</v>
      </c>
      <c r="C30" s="175"/>
      <c r="D30" s="177">
        <f t="shared" si="0"/>
        <v>1254.73</v>
      </c>
      <c r="E30" s="182"/>
    </row>
    <row r="31" spans="1:5" x14ac:dyDescent="0.25">
      <c r="A31" s="174" t="s">
        <v>388</v>
      </c>
      <c r="B31" s="176">
        <v>77449.75</v>
      </c>
      <c r="C31" s="175"/>
      <c r="D31" s="177">
        <f t="shared" si="0"/>
        <v>77449.75</v>
      </c>
      <c r="E31" s="182"/>
    </row>
    <row r="32" spans="1:5" x14ac:dyDescent="0.25">
      <c r="A32" s="174" t="s">
        <v>161</v>
      </c>
      <c r="B32" s="176">
        <v>1140450</v>
      </c>
      <c r="C32" s="176">
        <v>516000</v>
      </c>
      <c r="D32" s="177">
        <f t="shared" si="0"/>
        <v>1656450</v>
      </c>
      <c r="E32" s="182">
        <f>D32+D33+D34+D35+D36+D37+D38+D39+D40+D41+D42+D43+D44+D45+D46+D47+D48+D49+D50</f>
        <v>5152815.6800000016</v>
      </c>
    </row>
    <row r="33" spans="1:6" x14ac:dyDescent="0.25">
      <c r="A33" s="174" t="s">
        <v>389</v>
      </c>
      <c r="B33" s="175"/>
      <c r="C33" s="176">
        <v>155022.5</v>
      </c>
      <c r="D33" s="177">
        <f t="shared" si="0"/>
        <v>155022.5</v>
      </c>
      <c r="E33" s="182"/>
    </row>
    <row r="34" spans="1:6" x14ac:dyDescent="0.25">
      <c r="A34" s="174" t="s">
        <v>164</v>
      </c>
      <c r="B34" s="176">
        <v>9153</v>
      </c>
      <c r="C34" s="175"/>
      <c r="D34" s="177">
        <f t="shared" si="0"/>
        <v>9153</v>
      </c>
      <c r="E34" s="182"/>
    </row>
    <row r="35" spans="1:6" x14ac:dyDescent="0.25">
      <c r="A35" s="174" t="s">
        <v>167</v>
      </c>
      <c r="B35" s="176">
        <v>12972.4</v>
      </c>
      <c r="C35" s="175"/>
      <c r="D35" s="177">
        <f t="shared" si="0"/>
        <v>12972.4</v>
      </c>
      <c r="E35" s="182"/>
    </row>
    <row r="36" spans="1:6" x14ac:dyDescent="0.25">
      <c r="A36" s="174" t="s">
        <v>174</v>
      </c>
      <c r="B36" s="175"/>
      <c r="C36" s="176">
        <v>14514</v>
      </c>
      <c r="D36" s="177">
        <f t="shared" si="0"/>
        <v>14514</v>
      </c>
      <c r="E36" s="182"/>
    </row>
    <row r="37" spans="1:6" x14ac:dyDescent="0.25">
      <c r="A37" s="174" t="s">
        <v>176</v>
      </c>
      <c r="B37" s="176">
        <v>2994.5</v>
      </c>
      <c r="C37" s="176">
        <v>86083.36</v>
      </c>
      <c r="D37" s="177">
        <f t="shared" si="0"/>
        <v>89077.86</v>
      </c>
      <c r="E37" s="182"/>
    </row>
    <row r="38" spans="1:6" x14ac:dyDescent="0.25">
      <c r="A38" s="174" t="s">
        <v>178</v>
      </c>
      <c r="B38" s="175"/>
      <c r="C38" s="176">
        <v>150450</v>
      </c>
      <c r="D38" s="177">
        <f t="shared" si="0"/>
        <v>150450</v>
      </c>
      <c r="E38" s="182"/>
    </row>
    <row r="39" spans="1:6" x14ac:dyDescent="0.25">
      <c r="A39" s="174" t="s">
        <v>193</v>
      </c>
      <c r="B39" s="176">
        <v>1725.88</v>
      </c>
      <c r="C39" s="175"/>
      <c r="D39" s="177">
        <f t="shared" si="0"/>
        <v>1725.88</v>
      </c>
      <c r="E39" s="182"/>
    </row>
    <row r="40" spans="1:6" x14ac:dyDescent="0.25">
      <c r="A40" s="174" t="s">
        <v>205</v>
      </c>
      <c r="B40" s="176">
        <v>43511.7</v>
      </c>
      <c r="C40" s="175"/>
      <c r="D40" s="177">
        <f t="shared" si="0"/>
        <v>43511.7</v>
      </c>
      <c r="E40" s="182"/>
    </row>
    <row r="41" spans="1:6" x14ac:dyDescent="0.25">
      <c r="A41" s="174" t="s">
        <v>390</v>
      </c>
      <c r="B41" s="176">
        <v>925.06</v>
      </c>
      <c r="C41" s="175"/>
      <c r="D41" s="177">
        <f t="shared" si="0"/>
        <v>925.06</v>
      </c>
      <c r="E41" s="182"/>
      <c r="F41" s="115">
        <f>E13+E51</f>
        <v>9238143.3100000024</v>
      </c>
    </row>
    <row r="42" spans="1:6" x14ac:dyDescent="0.25">
      <c r="A42" s="174" t="s">
        <v>209</v>
      </c>
      <c r="B42" s="176">
        <v>498024.59</v>
      </c>
      <c r="C42" s="175"/>
      <c r="D42" s="177">
        <f t="shared" si="0"/>
        <v>498024.59</v>
      </c>
      <c r="E42" s="182"/>
    </row>
    <row r="43" spans="1:6" x14ac:dyDescent="0.25">
      <c r="A43" s="174" t="s">
        <v>211</v>
      </c>
      <c r="B43" s="175"/>
      <c r="C43" s="176">
        <v>2085000</v>
      </c>
      <c r="D43" s="177">
        <f t="shared" si="0"/>
        <v>2085000</v>
      </c>
      <c r="E43" s="182"/>
    </row>
    <row r="44" spans="1:6" x14ac:dyDescent="0.25">
      <c r="A44" s="174" t="s">
        <v>391</v>
      </c>
      <c r="B44" s="176">
        <v>4954.82</v>
      </c>
      <c r="C44" s="175"/>
      <c r="D44" s="177">
        <f t="shared" si="0"/>
        <v>4954.82</v>
      </c>
      <c r="E44" s="182"/>
    </row>
    <row r="45" spans="1:6" x14ac:dyDescent="0.25">
      <c r="A45" s="174" t="s">
        <v>218</v>
      </c>
      <c r="B45" s="176">
        <v>847.5</v>
      </c>
      <c r="C45" s="175"/>
      <c r="D45" s="177">
        <f t="shared" si="0"/>
        <v>847.5</v>
      </c>
      <c r="E45" s="182"/>
    </row>
    <row r="46" spans="1:6" x14ac:dyDescent="0.25">
      <c r="A46" s="174" t="s">
        <v>223</v>
      </c>
      <c r="B46" s="176">
        <v>7719.44</v>
      </c>
      <c r="C46" s="176">
        <v>153272.93</v>
      </c>
      <c r="D46" s="177">
        <f t="shared" si="0"/>
        <v>160992.37</v>
      </c>
      <c r="E46" s="182"/>
    </row>
    <row r="47" spans="1:6" x14ac:dyDescent="0.25">
      <c r="A47" s="174" t="s">
        <v>392</v>
      </c>
      <c r="B47" s="176">
        <v>1388.45</v>
      </c>
      <c r="C47" s="175"/>
      <c r="D47" s="177">
        <f t="shared" si="0"/>
        <v>1388.45</v>
      </c>
      <c r="E47" s="182"/>
    </row>
    <row r="48" spans="1:6" x14ac:dyDescent="0.25">
      <c r="A48" s="174" t="s">
        <v>225</v>
      </c>
      <c r="B48" s="176">
        <v>105711.57</v>
      </c>
      <c r="C48" s="175"/>
      <c r="D48" s="177">
        <f t="shared" si="0"/>
        <v>105711.57</v>
      </c>
      <c r="E48" s="182"/>
    </row>
    <row r="49" spans="1:6" x14ac:dyDescent="0.25">
      <c r="A49" s="174" t="s">
        <v>393</v>
      </c>
      <c r="B49" s="176">
        <v>8413.98</v>
      </c>
      <c r="C49" s="175"/>
      <c r="D49" s="177">
        <f t="shared" si="0"/>
        <v>8413.98</v>
      </c>
      <c r="E49" s="182"/>
      <c r="F49" s="110"/>
    </row>
    <row r="50" spans="1:6" x14ac:dyDescent="0.25">
      <c r="A50" s="174" t="s">
        <v>394</v>
      </c>
      <c r="B50" s="176">
        <v>153680</v>
      </c>
      <c r="C50" s="175"/>
      <c r="D50" s="177">
        <f t="shared" si="0"/>
        <v>153680</v>
      </c>
      <c r="E50" s="182"/>
      <c r="F50" s="110"/>
    </row>
    <row r="51" spans="1:6" x14ac:dyDescent="0.25">
      <c r="A51" s="174" t="s">
        <v>395</v>
      </c>
      <c r="B51" s="176">
        <v>1120000</v>
      </c>
      <c r="C51" s="175"/>
      <c r="D51" s="177">
        <f t="shared" si="0"/>
        <v>1120000</v>
      </c>
      <c r="E51" s="177">
        <f>D51</f>
        <v>1120000</v>
      </c>
      <c r="F51" s="110">
        <f>+E32+E13+E10+E9+E7+E4+E51</f>
        <v>24833342.690000005</v>
      </c>
    </row>
    <row r="52" spans="1:6" x14ac:dyDescent="0.25">
      <c r="A52" s="174" t="s">
        <v>396</v>
      </c>
      <c r="B52" s="176">
        <v>5424</v>
      </c>
      <c r="C52" s="175"/>
      <c r="D52" s="177">
        <f t="shared" si="0"/>
        <v>5424</v>
      </c>
      <c r="E52" s="182">
        <f>D52+D53</f>
        <v>7006</v>
      </c>
      <c r="F52" s="110">
        <v>2067383.33</v>
      </c>
    </row>
    <row r="53" spans="1:6" x14ac:dyDescent="0.25">
      <c r="A53" s="174" t="s">
        <v>397</v>
      </c>
      <c r="B53" s="176">
        <v>1582</v>
      </c>
      <c r="C53" s="175"/>
      <c r="D53" s="177">
        <f t="shared" si="0"/>
        <v>1582</v>
      </c>
      <c r="E53" s="182"/>
      <c r="F53" s="115">
        <f>SUM(F51:F52)</f>
        <v>26900726.020000003</v>
      </c>
    </row>
    <row r="54" spans="1:6" x14ac:dyDescent="0.25">
      <c r="A54" s="174" t="s">
        <v>398</v>
      </c>
      <c r="B54" s="175">
        <v>5408.59</v>
      </c>
      <c r="C54" s="175"/>
      <c r="D54" s="177">
        <f t="shared" si="0"/>
        <v>5408.59</v>
      </c>
      <c r="E54" s="177">
        <f>D54</f>
        <v>5408.59</v>
      </c>
      <c r="F54" s="115">
        <f>F53-' ERF-Rendimiento Financiero'!F21</f>
        <v>0</v>
      </c>
    </row>
    <row r="55" spans="1:6" x14ac:dyDescent="0.25">
      <c r="A55" s="174"/>
      <c r="B55" s="178">
        <f>SUM(B4:B54)</f>
        <v>5227672.9799999995</v>
      </c>
      <c r="C55" s="178">
        <f>SUM(C4:C54)</f>
        <v>19618084.300000001</v>
      </c>
      <c r="D55" s="179">
        <f t="shared" si="0"/>
        <v>24845757.280000001</v>
      </c>
      <c r="E55" s="179">
        <f>SUM(E4:E54)</f>
        <v>24845757.280000005</v>
      </c>
    </row>
    <row r="58" spans="1:6" x14ac:dyDescent="0.25">
      <c r="D58" s="174" t="s">
        <v>399</v>
      </c>
      <c r="E58" s="177">
        <f>[1]ENERO!C43+[1]FEBRERO!C49+[1]MARZO!C37+C55</f>
        <v>64789167.739999995</v>
      </c>
    </row>
    <row r="59" spans="1:6" x14ac:dyDescent="0.25">
      <c r="D59" s="174" t="s">
        <v>359</v>
      </c>
      <c r="E59" s="177">
        <f>[1]ENERO!B43+[1]FEBRERO!B49+[1]MARZO!B37+B55</f>
        <v>18069509.429067798</v>
      </c>
    </row>
    <row r="60" spans="1:6" x14ac:dyDescent="0.25">
      <c r="D60" s="181" t="s">
        <v>361</v>
      </c>
      <c r="E60" s="179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1"/>
  <sheetViews>
    <sheetView workbookViewId="0">
      <pane ySplit="11" topLeftCell="A18" activePane="bottomLeft" state="frozen"/>
      <selection pane="bottomLeft" activeCell="D19" sqref="D19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D331227</f>
        <v>0</v>
      </c>
      <c r="E2" s="7">
        <f>E331227</f>
        <v>0</v>
      </c>
      <c r="F2" s="7">
        <f>F331227</f>
        <v>0</v>
      </c>
      <c r="G2" s="8"/>
      <c r="I2" s="9" t="s">
        <v>1</v>
      </c>
      <c r="J2" s="7">
        <f>SUM(J13:J160)</f>
        <v>134228641.44000003</v>
      </c>
      <c r="K2" s="7">
        <f t="shared" ref="K2:Q2" si="0">SUM(K13:K164)</f>
        <v>0</v>
      </c>
      <c r="L2" s="7">
        <f t="shared" si="0"/>
        <v>0</v>
      </c>
      <c r="M2" s="7">
        <f t="shared" si="0"/>
        <v>188848855.39999998</v>
      </c>
      <c r="N2" s="7">
        <f t="shared" si="0"/>
        <v>-56687597.290000014</v>
      </c>
      <c r="O2" s="7">
        <f t="shared" si="0"/>
        <v>38799760.589999996</v>
      </c>
      <c r="P2" s="7">
        <f t="shared" si="0"/>
        <v>-49031047.490000002</v>
      </c>
      <c r="Q2" s="7" t="e">
        <f t="shared" si="0"/>
        <v>#REF!</v>
      </c>
      <c r="S2" s="7" t="e">
        <f>SUM(N2:R2)</f>
        <v>#REF!</v>
      </c>
      <c r="T2" s="7"/>
      <c r="U2" s="10">
        <f>SUM(U13:U164)</f>
        <v>9180934.1300000008</v>
      </c>
      <c r="V2" s="10">
        <f>SUM(V13:V164)</f>
        <v>1261449.5699999998</v>
      </c>
      <c r="W2" s="10">
        <f>SUM(W13:W164)</f>
        <v>13270958.990000002</v>
      </c>
      <c r="X2" s="7">
        <f>SUM(X13:X164)</f>
        <v>0</v>
      </c>
      <c r="Z2" s="7">
        <f>+O2+P2-N2</f>
        <v>46456310.390000008</v>
      </c>
    </row>
    <row r="3" spans="1:30" hidden="1" x14ac:dyDescent="0.25">
      <c r="C3" s="6"/>
      <c r="D3" s="11">
        <f>+SUBTOTAL(9,D13:D165)</f>
        <v>147457848.14000002</v>
      </c>
      <c r="E3" s="6"/>
      <c r="F3" s="11">
        <f>+SUBTOTAL(9,F13:F165)</f>
        <v>264395114.80999997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6" t="s">
        <v>2</v>
      </c>
      <c r="D5" s="186"/>
      <c r="E5" s="186"/>
      <c r="F5" s="186"/>
      <c r="G5" s="13"/>
      <c r="I5" s="186" t="s">
        <v>2</v>
      </c>
      <c r="J5" s="186"/>
      <c r="K5" s="186"/>
      <c r="L5" s="186"/>
      <c r="O5" s="7"/>
      <c r="S5" s="187" t="s">
        <v>3</v>
      </c>
    </row>
    <row r="6" spans="1:30" ht="15.75" x14ac:dyDescent="0.25">
      <c r="B6" s="12"/>
      <c r="C6" s="186" t="s">
        <v>4</v>
      </c>
      <c r="D6" s="186"/>
      <c r="E6" s="186"/>
      <c r="F6" s="186"/>
      <c r="G6" s="14"/>
      <c r="H6" s="7"/>
      <c r="I6" s="186" t="s">
        <v>5</v>
      </c>
      <c r="J6" s="186"/>
      <c r="K6" s="186"/>
      <c r="L6" s="186"/>
      <c r="M6" s="7"/>
      <c r="P6" s="7"/>
      <c r="S6" s="187"/>
    </row>
    <row r="7" spans="1:30" ht="15.75" x14ac:dyDescent="0.25">
      <c r="B7" s="12"/>
      <c r="C7" s="186" t="s">
        <v>400</v>
      </c>
      <c r="D7" s="186"/>
      <c r="E7" s="186"/>
      <c r="F7" s="186"/>
      <c r="G7" s="15"/>
      <c r="H7" s="16">
        <v>61975942</v>
      </c>
      <c r="I7" s="186" t="s">
        <v>6</v>
      </c>
      <c r="J7" s="186"/>
      <c r="K7" s="186"/>
      <c r="L7" s="186"/>
      <c r="S7" s="187"/>
    </row>
    <row r="8" spans="1:30" ht="15.75" x14ac:dyDescent="0.25">
      <c r="B8" s="12"/>
      <c r="C8" s="186" t="s">
        <v>7</v>
      </c>
      <c r="D8" s="186"/>
      <c r="E8" s="186"/>
      <c r="F8" s="186"/>
      <c r="H8" s="16">
        <v>59878099.049999997</v>
      </c>
      <c r="I8" s="186" t="s">
        <v>7</v>
      </c>
      <c r="J8" s="186"/>
      <c r="K8" s="186"/>
      <c r="L8" s="186"/>
      <c r="P8" s="7"/>
      <c r="S8" s="187"/>
      <c r="T8" s="184" t="s">
        <v>8</v>
      </c>
      <c r="U8" s="184"/>
      <c r="V8" s="184"/>
      <c r="W8" s="184"/>
      <c r="X8" s="184"/>
    </row>
    <row r="9" spans="1:30" ht="23.25" customHeight="1" x14ac:dyDescent="0.25">
      <c r="D9" s="17"/>
      <c r="E9" s="7"/>
      <c r="F9" s="17">
        <f>+D27-D28</f>
        <v>-3306766.6999999997</v>
      </c>
      <c r="G9" s="15"/>
      <c r="H9" s="16">
        <f>H7-H8</f>
        <v>2097842.950000003</v>
      </c>
      <c r="J9" s="18"/>
      <c r="K9" s="18"/>
      <c r="L9" s="18"/>
      <c r="M9" s="18"/>
      <c r="N9" s="19"/>
      <c r="S9" s="187"/>
    </row>
    <row r="10" spans="1:30" ht="27" customHeight="1" x14ac:dyDescent="0.25">
      <c r="C10" s="9"/>
      <c r="G10" s="13"/>
      <c r="H10" s="16"/>
      <c r="J10" s="9" t="s">
        <v>9</v>
      </c>
      <c r="K10" s="185" t="s">
        <v>10</v>
      </c>
      <c r="L10" s="185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7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2022</v>
      </c>
      <c r="F11" s="23">
        <v>2021</v>
      </c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3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75" si="1">SUM(N12:R12)</f>
        <v>0</v>
      </c>
      <c r="T12" s="30" t="e">
        <f t="shared" ref="T12:T37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" t="s">
        <v>41</v>
      </c>
      <c r="D13" s="7">
        <v>4570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B14" s="2" t="s">
        <v>40</v>
      </c>
      <c r="C14" s="31" t="s">
        <v>42</v>
      </c>
      <c r="D14" s="16">
        <v>5023380.38</v>
      </c>
      <c r="E14" s="7"/>
      <c r="F14" s="32"/>
      <c r="G14" s="15"/>
      <c r="H14" s="3">
        <f>G13+H13</f>
        <v>0</v>
      </c>
      <c r="I14" s="3" t="s">
        <v>43</v>
      </c>
      <c r="J14" s="7">
        <f>D14+D15+D16+D17</f>
        <v>18266861.899999999</v>
      </c>
      <c r="M14" s="7">
        <f>F14+F15+F16+F17</f>
        <v>0</v>
      </c>
      <c r="N14" s="8">
        <f>+J14+K14-L14-M14</f>
        <v>18266861.899999999</v>
      </c>
      <c r="O14" s="7">
        <f>-N14</f>
        <v>-18266861.899999999</v>
      </c>
      <c r="P14" s="7"/>
      <c r="Q14" s="7"/>
      <c r="R14" s="7"/>
      <c r="S14" s="7">
        <f t="shared" si="1"/>
        <v>0</v>
      </c>
      <c r="T14" s="30">
        <f t="shared" si="2"/>
        <v>-18266861.899999999</v>
      </c>
      <c r="Y14" s="7"/>
    </row>
    <row r="15" spans="1:30" ht="15.75" x14ac:dyDescent="0.25">
      <c r="C15" s="3" t="s">
        <v>44</v>
      </c>
      <c r="D15" s="16">
        <v>-670266.71</v>
      </c>
      <c r="E15" s="7"/>
      <c r="F15" s="33"/>
      <c r="G15" s="15"/>
      <c r="J15" s="7"/>
      <c r="M15" s="7"/>
      <c r="N15" s="8">
        <f>+J15+K15-L15-M15</f>
        <v>0</v>
      </c>
      <c r="O15" s="7"/>
      <c r="P15" s="7"/>
      <c r="Q15" s="7"/>
      <c r="R15" s="7"/>
      <c r="S15" s="7">
        <f t="shared" si="1"/>
        <v>0</v>
      </c>
      <c r="T15" s="30">
        <f t="shared" si="2"/>
        <v>0</v>
      </c>
      <c r="Y15" s="7"/>
    </row>
    <row r="16" spans="1:30" x14ac:dyDescent="0.25">
      <c r="A16" s="1" t="s">
        <v>40</v>
      </c>
      <c r="C16" s="3" t="s">
        <v>45</v>
      </c>
      <c r="D16" s="16">
        <v>12489167.119999999</v>
      </c>
      <c r="E16" s="7"/>
      <c r="F16" s="7"/>
      <c r="G16" s="13"/>
      <c r="H16" s="32">
        <f>F16-G16</f>
        <v>0</v>
      </c>
      <c r="J16" s="7"/>
      <c r="M16" s="7"/>
      <c r="N16" s="8">
        <v>0</v>
      </c>
      <c r="O16" s="7"/>
      <c r="P16" s="7"/>
      <c r="Q16" s="7"/>
      <c r="R16" s="7"/>
      <c r="S16" s="7">
        <f t="shared" si="1"/>
        <v>0</v>
      </c>
      <c r="T16" s="30">
        <f t="shared" si="2"/>
        <v>0</v>
      </c>
      <c r="Y16" s="7"/>
    </row>
    <row r="17" spans="1:25" x14ac:dyDescent="0.25">
      <c r="A17" s="1" t="s">
        <v>40</v>
      </c>
      <c r="C17" s="31" t="s">
        <v>46</v>
      </c>
      <c r="D17" s="16">
        <v>1424581.11</v>
      </c>
      <c r="E17" s="7"/>
      <c r="F17" s="7"/>
      <c r="G17" s="13"/>
      <c r="H17" s="32"/>
      <c r="J17" s="7"/>
      <c r="M17" s="7"/>
      <c r="N17" s="8">
        <f t="shared" ref="N17:N81" si="3"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x14ac:dyDescent="0.25">
      <c r="A18" s="1" t="s">
        <v>47</v>
      </c>
      <c r="C18" s="31" t="s">
        <v>48</v>
      </c>
      <c r="D18" s="16">
        <v>0</v>
      </c>
      <c r="E18" s="7"/>
      <c r="F18" s="7"/>
      <c r="G18" s="13"/>
      <c r="H18" s="7"/>
      <c r="I18" s="3" t="str">
        <f>+C18</f>
        <v>CI 7297 Prevencion para Des. Temp. Ciclonica</v>
      </c>
      <c r="J18" s="7">
        <f>D18</f>
        <v>0</v>
      </c>
      <c r="M18" s="7"/>
      <c r="N18" s="8">
        <f t="shared" si="3"/>
        <v>0</v>
      </c>
      <c r="O18" s="7">
        <f>-N18</f>
        <v>0</v>
      </c>
      <c r="P18" s="7"/>
      <c r="Q18" s="7"/>
      <c r="S18" s="7">
        <f t="shared" si="1"/>
        <v>0</v>
      </c>
      <c r="T18" s="30">
        <f t="shared" si="2"/>
        <v>0</v>
      </c>
      <c r="Y18" s="7"/>
    </row>
    <row r="19" spans="1:25" x14ac:dyDescent="0.25">
      <c r="A19" s="1" t="s">
        <v>49</v>
      </c>
      <c r="C19" s="3" t="s">
        <v>50</v>
      </c>
      <c r="D19" s="16">
        <v>2111462</v>
      </c>
      <c r="E19" s="7"/>
      <c r="F19" s="32"/>
      <c r="G19" s="15"/>
      <c r="H19" s="3" t="s">
        <v>51</v>
      </c>
      <c r="I19" s="3" t="str">
        <f>+C19</f>
        <v>Material gastable</v>
      </c>
      <c r="J19" s="7">
        <f>D19</f>
        <v>2111462</v>
      </c>
      <c r="M19" s="7">
        <f>F19</f>
        <v>0</v>
      </c>
      <c r="N19" s="8">
        <f t="shared" si="3"/>
        <v>2111462</v>
      </c>
      <c r="O19" s="7">
        <f>-N19</f>
        <v>-2111462</v>
      </c>
      <c r="P19" s="7"/>
      <c r="Q19" s="7"/>
      <c r="S19" s="7">
        <f>SUM(N19:R19)</f>
        <v>0</v>
      </c>
      <c r="T19" s="30">
        <f t="shared" si="2"/>
        <v>-2111462</v>
      </c>
      <c r="W19" s="7"/>
      <c r="Y19" s="7"/>
    </row>
    <row r="20" spans="1:25" x14ac:dyDescent="0.25">
      <c r="A20" s="1" t="s">
        <v>52</v>
      </c>
      <c r="C20" s="3" t="s">
        <v>53</v>
      </c>
      <c r="D20" s="16"/>
      <c r="E20" s="7"/>
      <c r="F20" s="7"/>
      <c r="G20" s="15"/>
      <c r="J20" s="7">
        <f>D20</f>
        <v>0</v>
      </c>
      <c r="M20" s="7"/>
      <c r="N20" s="8">
        <f t="shared" si="3"/>
        <v>0</v>
      </c>
      <c r="O20" s="7">
        <f>-N20</f>
        <v>0</v>
      </c>
      <c r="P20" s="7"/>
      <c r="Q20" s="7" t="e">
        <f>N3-'[2]ECANP-Cambio Patrimonio'!M21</f>
        <v>#REF!</v>
      </c>
      <c r="S20" s="7" t="e">
        <f t="shared" si="1"/>
        <v>#REF!</v>
      </c>
      <c r="T20" s="30">
        <f t="shared" si="2"/>
        <v>0</v>
      </c>
      <c r="W20" s="7">
        <f>+O20</f>
        <v>0</v>
      </c>
      <c r="Y20" s="7">
        <f>SUM(T20:X20)-O20</f>
        <v>0</v>
      </c>
    </row>
    <row r="21" spans="1:25" ht="15.75" x14ac:dyDescent="0.25">
      <c r="A21" s="1" t="s">
        <v>54</v>
      </c>
      <c r="C21" s="3" t="s">
        <v>55</v>
      </c>
      <c r="D21" s="34">
        <v>182016598</v>
      </c>
      <c r="E21" s="7"/>
      <c r="F21" s="7">
        <v>3653530.2</v>
      </c>
      <c r="G21" s="14">
        <v>642444</v>
      </c>
      <c r="H21" s="3" t="s">
        <v>56</v>
      </c>
      <c r="I21" s="3" t="str">
        <f>+C21</f>
        <v>Mobiliarios y equipos de oficina</v>
      </c>
      <c r="J21" s="7">
        <f>D21</f>
        <v>182016598</v>
      </c>
      <c r="K21" s="8"/>
      <c r="M21" s="7">
        <f>F21</f>
        <v>3653530.2</v>
      </c>
      <c r="N21" s="8">
        <f t="shared" si="3"/>
        <v>178363067.80000001</v>
      </c>
      <c r="O21" s="7">
        <f>-N21</f>
        <v>-178363067.80000001</v>
      </c>
      <c r="P21" s="7"/>
      <c r="Q21" s="7"/>
      <c r="S21" s="7"/>
      <c r="T21" s="30">
        <f t="shared" si="2"/>
        <v>-178363067.80000001</v>
      </c>
      <c r="Y21" s="7">
        <f>SUM(T21:X21)-O21</f>
        <v>0</v>
      </c>
    </row>
    <row r="22" spans="1:25" x14ac:dyDescent="0.25">
      <c r="A22" s="1" t="s">
        <v>54</v>
      </c>
      <c r="C22" s="3" t="s">
        <v>57</v>
      </c>
      <c r="D22" s="35">
        <v>-119909908.28</v>
      </c>
      <c r="E22" s="7"/>
      <c r="F22" s="7">
        <f>D21+F21</f>
        <v>185670128.19999999</v>
      </c>
      <c r="G22" s="14"/>
      <c r="I22" s="3" t="str">
        <f>+C22</f>
        <v>Depreciación acumulada</v>
      </c>
      <c r="J22" s="7">
        <f>D22</f>
        <v>-119909908.28</v>
      </c>
      <c r="K22" s="36"/>
      <c r="L22" s="8"/>
      <c r="M22" s="7">
        <f>F22</f>
        <v>185670128.19999999</v>
      </c>
      <c r="N22" s="8">
        <f t="shared" si="3"/>
        <v>-305580036.48000002</v>
      </c>
      <c r="O22" s="7">
        <f>-N22</f>
        <v>305580036.48000002</v>
      </c>
      <c r="P22" s="7"/>
      <c r="Q22" s="7" t="e">
        <f>N5-'[2]ECANP-Cambio Patrimonio'!M23</f>
        <v>#REF!</v>
      </c>
      <c r="S22" s="7" t="e">
        <f t="shared" si="1"/>
        <v>#REF!</v>
      </c>
      <c r="T22" s="30">
        <f t="shared" si="2"/>
        <v>305580036.48000002</v>
      </c>
      <c r="Y22" s="7">
        <f>SUM(T22:X22)-O22</f>
        <v>0</v>
      </c>
    </row>
    <row r="23" spans="1:25" x14ac:dyDescent="0.25">
      <c r="A23" s="1" t="s">
        <v>58</v>
      </c>
      <c r="C23" s="3" t="s">
        <v>59</v>
      </c>
      <c r="D23" s="16"/>
      <c r="E23" s="7"/>
      <c r="F23" s="7">
        <f>D21+D22</f>
        <v>62106689.719999999</v>
      </c>
      <c r="G23" s="14">
        <f>D21+G21</f>
        <v>182659042</v>
      </c>
      <c r="H23" s="3" t="s">
        <v>56</v>
      </c>
      <c r="I23" s="3" t="str">
        <f>+C23</f>
        <v>Intangibles</v>
      </c>
      <c r="J23" s="7">
        <f>+D23</f>
        <v>0</v>
      </c>
      <c r="K23" s="8"/>
      <c r="L23" s="7"/>
      <c r="M23" s="7"/>
      <c r="N23" s="8">
        <f t="shared" si="3"/>
        <v>0</v>
      </c>
      <c r="P23" s="7">
        <f>-N23</f>
        <v>0</v>
      </c>
      <c r="S23" s="7">
        <f t="shared" si="1"/>
        <v>0</v>
      </c>
      <c r="T23" s="30">
        <f t="shared" si="2"/>
        <v>0</v>
      </c>
      <c r="Y23" s="7"/>
    </row>
    <row r="24" spans="1:25" x14ac:dyDescent="0.25">
      <c r="A24" s="1" t="s">
        <v>58</v>
      </c>
      <c r="C24" s="3" t="s">
        <v>60</v>
      </c>
      <c r="D24" s="16"/>
      <c r="E24" s="7"/>
      <c r="F24" s="7"/>
      <c r="G24" s="14"/>
      <c r="I24" s="3" t="str">
        <f>+C24</f>
        <v>Amortización</v>
      </c>
      <c r="J24" s="7">
        <f>+D24</f>
        <v>0</v>
      </c>
      <c r="K24" s="7"/>
      <c r="L24" s="7"/>
      <c r="M24" s="7"/>
      <c r="N24" s="8">
        <f t="shared" si="3"/>
        <v>0</v>
      </c>
      <c r="P24" s="7">
        <f t="shared" ref="P24:P88" si="4">-N24</f>
        <v>0</v>
      </c>
      <c r="S24" s="7">
        <f t="shared" si="1"/>
        <v>0</v>
      </c>
      <c r="T24" s="30">
        <f t="shared" si="2"/>
        <v>0</v>
      </c>
      <c r="Y24" s="7"/>
    </row>
    <row r="25" spans="1:25" x14ac:dyDescent="0.25">
      <c r="D25" s="16"/>
      <c r="E25" s="7"/>
      <c r="F25" s="7"/>
      <c r="G25" s="14"/>
      <c r="J25" s="7"/>
      <c r="K25" s="7"/>
      <c r="L25" s="7"/>
      <c r="M25" s="7"/>
      <c r="N25" s="8">
        <f t="shared" si="3"/>
        <v>0</v>
      </c>
      <c r="P25" s="7">
        <f t="shared" si="4"/>
        <v>0</v>
      </c>
      <c r="S25" s="7">
        <f t="shared" si="1"/>
        <v>0</v>
      </c>
      <c r="T25" s="30">
        <f t="shared" si="2"/>
        <v>0</v>
      </c>
      <c r="Y25" s="7"/>
    </row>
    <row r="26" spans="1:25" x14ac:dyDescent="0.25">
      <c r="A26" s="1" t="s">
        <v>33</v>
      </c>
      <c r="C26" s="27" t="s">
        <v>61</v>
      </c>
      <c r="D26" s="16"/>
      <c r="E26" s="7"/>
      <c r="F26" s="7"/>
      <c r="G26" s="15"/>
      <c r="J26" s="7"/>
      <c r="K26" s="7"/>
      <c r="L26" s="7"/>
      <c r="M26" s="7"/>
      <c r="N26" s="8">
        <f t="shared" si="3"/>
        <v>0</v>
      </c>
      <c r="P26" s="7">
        <f t="shared" si="4"/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62</v>
      </c>
      <c r="C27" s="3" t="s">
        <v>63</v>
      </c>
      <c r="D27" s="32">
        <v>-4282422.3899999997</v>
      </c>
      <c r="E27" s="7"/>
      <c r="F27" s="7">
        <v>-11393773</v>
      </c>
      <c r="G27" s="14">
        <f>F27-'[3]EFE-Flujo de Efectivo'!C53</f>
        <v>-5617877.4699999997</v>
      </c>
      <c r="H27" s="3" t="s">
        <v>51</v>
      </c>
      <c r="I27" s="3" t="str">
        <f>+C27</f>
        <v>Cuentas por pagar</v>
      </c>
      <c r="J27" s="7">
        <f>+D27</f>
        <v>-4282422.3899999997</v>
      </c>
      <c r="K27" s="7"/>
      <c r="L27" s="7"/>
      <c r="M27" s="7"/>
      <c r="N27" s="8">
        <f t="shared" si="3"/>
        <v>-4282422.3899999997</v>
      </c>
      <c r="O27" s="7">
        <f>-N27</f>
        <v>4282422.3899999997</v>
      </c>
      <c r="P27" s="7">
        <f t="shared" si="4"/>
        <v>4282422.3899999997</v>
      </c>
      <c r="S27" s="7">
        <f>SUM(N27:R27)</f>
        <v>4282422.3899999997</v>
      </c>
      <c r="T27" s="30">
        <f t="shared" si="2"/>
        <v>4282422.3899999997</v>
      </c>
      <c r="W27" s="7"/>
      <c r="Y27" s="7">
        <f>SUM(T27:X27)-O27</f>
        <v>0</v>
      </c>
    </row>
    <row r="28" spans="1:25" x14ac:dyDescent="0.25">
      <c r="A28" s="1" t="s">
        <v>64</v>
      </c>
      <c r="C28" s="3" t="s">
        <v>65</v>
      </c>
      <c r="D28" s="37">
        <v>-975655.69</v>
      </c>
      <c r="E28" s="7"/>
      <c r="F28" s="7">
        <v>-474803</v>
      </c>
      <c r="G28" s="14">
        <f>D28-F28</f>
        <v>-500852.68999999994</v>
      </c>
      <c r="I28" s="3" t="str">
        <f>+C28</f>
        <v>Retenciones y acumulaciones por pagar</v>
      </c>
      <c r="J28" s="7">
        <f>+D28</f>
        <v>-975655.69</v>
      </c>
      <c r="K28" s="7"/>
      <c r="L28" s="7"/>
      <c r="M28" s="7">
        <f>F28</f>
        <v>-474803</v>
      </c>
      <c r="N28" s="8">
        <f t="shared" si="3"/>
        <v>-500852.68999999994</v>
      </c>
      <c r="O28" s="7">
        <f>-N28</f>
        <v>500852.68999999994</v>
      </c>
      <c r="P28" s="7">
        <f t="shared" si="4"/>
        <v>500852.68999999994</v>
      </c>
      <c r="S28" s="7">
        <f t="shared" si="1"/>
        <v>500852.68999999994</v>
      </c>
      <c r="T28" s="30">
        <f t="shared" si="2"/>
        <v>500852.68999999994</v>
      </c>
      <c r="Y28" s="7">
        <f>SUM(T28:X28)-O28</f>
        <v>0</v>
      </c>
    </row>
    <row r="29" spans="1:25" x14ac:dyDescent="0.25">
      <c r="C29" s="3" t="s">
        <v>66</v>
      </c>
      <c r="D29" s="16"/>
      <c r="E29" s="7"/>
      <c r="F29" s="7"/>
      <c r="G29" s="14">
        <f>D29-F29</f>
        <v>0</v>
      </c>
      <c r="J29" s="7"/>
      <c r="K29" s="7"/>
      <c r="L29" s="7"/>
      <c r="M29" s="7"/>
      <c r="N29" s="8">
        <f t="shared" si="3"/>
        <v>0</v>
      </c>
      <c r="O29" s="7"/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67</v>
      </c>
      <c r="D30" s="16"/>
      <c r="E30" s="7"/>
      <c r="F30" s="7"/>
      <c r="G30" s="13"/>
      <c r="J30" s="7"/>
      <c r="K30" s="7"/>
      <c r="L30" s="7"/>
      <c r="M30" s="7"/>
      <c r="N30" s="8">
        <f t="shared" si="3"/>
        <v>0</v>
      </c>
      <c r="O30" s="7"/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C31" s="38" t="s">
        <v>68</v>
      </c>
      <c r="D31" s="16">
        <f>'[3]ECANP-Cambio Patrimonio'!D20</f>
        <v>51695326</v>
      </c>
      <c r="E31" s="8"/>
      <c r="F31" s="8"/>
      <c r="G31" s="13"/>
      <c r="J31" s="7">
        <f>D31</f>
        <v>51695326</v>
      </c>
      <c r="K31" s="7"/>
      <c r="L31" s="7"/>
      <c r="M31" s="7">
        <f>F31</f>
        <v>0</v>
      </c>
      <c r="N31" s="8">
        <f t="shared" si="3"/>
        <v>51695326</v>
      </c>
      <c r="O31" s="7">
        <f>-N31</f>
        <v>-51695326</v>
      </c>
      <c r="P31" s="7">
        <f t="shared" si="4"/>
        <v>-51695326</v>
      </c>
      <c r="S31" s="7">
        <f t="shared" si="1"/>
        <v>-51695326</v>
      </c>
      <c r="T31" s="30">
        <f t="shared" si="2"/>
        <v>-51695326</v>
      </c>
      <c r="Y31" s="7"/>
    </row>
    <row r="32" spans="1:25" x14ac:dyDescent="0.25">
      <c r="A32" s="1" t="s">
        <v>69</v>
      </c>
      <c r="C32" s="3" t="s">
        <v>70</v>
      </c>
      <c r="D32" s="16">
        <f>'[3]ECANP-Cambio Patrimonio'!G13</f>
        <v>18555016.600000001</v>
      </c>
      <c r="E32" s="8"/>
      <c r="F32" s="8"/>
      <c r="G32" s="13">
        <v>2098358.34</v>
      </c>
      <c r="I32" s="3" t="str">
        <f>+C32</f>
        <v>Resultado acumulado</v>
      </c>
      <c r="J32" s="7">
        <f>D32</f>
        <v>18555016.600000001</v>
      </c>
      <c r="K32" s="7"/>
      <c r="L32" s="7"/>
      <c r="M32" s="7">
        <f>F32</f>
        <v>0</v>
      </c>
      <c r="N32" s="8">
        <f>+J32+K32-L32-M32</f>
        <v>18555016.600000001</v>
      </c>
      <c r="O32" s="7">
        <f>-N32</f>
        <v>-18555016.600000001</v>
      </c>
      <c r="P32" s="7">
        <f t="shared" si="4"/>
        <v>-18555016.600000001</v>
      </c>
      <c r="S32" s="7">
        <f t="shared" si="1"/>
        <v>-18555016.600000001</v>
      </c>
      <c r="T32" s="30">
        <f t="shared" si="2"/>
        <v>-18555016.600000001</v>
      </c>
      <c r="W32" s="7"/>
      <c r="Y32" s="7">
        <f>SUM(T32:X32)-O32</f>
        <v>0</v>
      </c>
    </row>
    <row r="33" spans="1:25" ht="15" customHeight="1" x14ac:dyDescent="0.25">
      <c r="A33" s="1" t="s">
        <v>71</v>
      </c>
      <c r="C33" s="3" t="s">
        <v>72</v>
      </c>
      <c r="D33" s="16">
        <f>'ECANP-Cambio Patrimonio'!G19</f>
        <v>-2399689.320000004</v>
      </c>
      <c r="E33" s="30"/>
      <c r="F33" s="8"/>
      <c r="G33" s="13"/>
      <c r="I33" s="3" t="str">
        <f>+C33</f>
        <v>Resultado del período</v>
      </c>
      <c r="J33" s="7">
        <f>D33</f>
        <v>-2399689.320000004</v>
      </c>
      <c r="K33" s="7"/>
      <c r="L33" s="7"/>
      <c r="M33" s="7">
        <f>F33</f>
        <v>0</v>
      </c>
      <c r="N33" s="8">
        <f>+J33+K33-L33-M33</f>
        <v>-2399689.320000004</v>
      </c>
      <c r="O33" s="7">
        <f>-N33</f>
        <v>2399689.320000004</v>
      </c>
      <c r="P33" s="7">
        <f t="shared" si="4"/>
        <v>2399689.320000004</v>
      </c>
      <c r="S33" s="7">
        <f t="shared" si="1"/>
        <v>2399689.320000004</v>
      </c>
      <c r="T33" s="30">
        <f t="shared" si="2"/>
        <v>2399689.320000004</v>
      </c>
      <c r="Y33" s="7"/>
    </row>
    <row r="34" spans="1:25" s="40" customFormat="1" ht="15.6" customHeight="1" x14ac:dyDescent="0.25">
      <c r="A34" s="39"/>
      <c r="B34" s="2"/>
      <c r="C34" s="40" t="s">
        <v>73</v>
      </c>
      <c r="D34" s="41"/>
      <c r="E34" s="42"/>
      <c r="F34" s="42"/>
      <c r="G34" s="43"/>
      <c r="I34" s="3" t="str">
        <f>+C34</f>
        <v>Ajustes</v>
      </c>
      <c r="J34" s="7">
        <f>D37</f>
        <v>-1950000</v>
      </c>
      <c r="K34" s="17"/>
      <c r="M34" s="17"/>
      <c r="N34" s="8">
        <f t="shared" si="3"/>
        <v>-1950000</v>
      </c>
      <c r="O34" s="7">
        <f>-N34</f>
        <v>1950000</v>
      </c>
      <c r="P34" s="7">
        <f t="shared" si="4"/>
        <v>1950000</v>
      </c>
      <c r="Q34" s="3"/>
      <c r="S34" s="7">
        <f t="shared" si="1"/>
        <v>1950000</v>
      </c>
      <c r="T34" s="30">
        <f t="shared" si="2"/>
        <v>1950000</v>
      </c>
      <c r="Y34" s="17"/>
    </row>
    <row r="35" spans="1:25" s="40" customFormat="1" x14ac:dyDescent="0.25">
      <c r="A35" s="39"/>
      <c r="B35" s="2"/>
      <c r="D35" s="41"/>
      <c r="E35" s="30"/>
      <c r="F35" s="42"/>
      <c r="G35" s="43"/>
      <c r="I35" s="17"/>
      <c r="J35" s="7">
        <f t="shared" ref="J35" si="5">D38</f>
        <v>-17887836.699999999</v>
      </c>
      <c r="K35" s="17"/>
      <c r="M35" s="17"/>
      <c r="N35" s="8">
        <f t="shared" si="3"/>
        <v>-17887836.699999999</v>
      </c>
      <c r="O35" s="17"/>
      <c r="P35" s="7">
        <f t="shared" si="4"/>
        <v>17887836.699999999</v>
      </c>
      <c r="Q35" s="3"/>
      <c r="S35" s="7">
        <f>SUM(N35:R35)</f>
        <v>0</v>
      </c>
      <c r="T35" s="30">
        <f t="shared" si="2"/>
        <v>17887836.699999999</v>
      </c>
      <c r="Y35" s="17"/>
    </row>
    <row r="36" spans="1:25" s="40" customFormat="1" x14ac:dyDescent="0.25">
      <c r="A36" s="39" t="s">
        <v>33</v>
      </c>
      <c r="B36" s="2"/>
      <c r="C36" s="27" t="s">
        <v>74</v>
      </c>
      <c r="D36" s="41"/>
      <c r="E36" s="30"/>
      <c r="F36" s="8"/>
      <c r="G36" s="43"/>
      <c r="J36" s="7">
        <f>D40</f>
        <v>-24000</v>
      </c>
      <c r="M36" s="17"/>
      <c r="N36" s="8">
        <f t="shared" si="3"/>
        <v>-24000</v>
      </c>
      <c r="O36" s="17">
        <f>-N36</f>
        <v>24000</v>
      </c>
      <c r="P36" s="7">
        <f t="shared" si="4"/>
        <v>24000</v>
      </c>
      <c r="Q36" s="3"/>
      <c r="S36" s="7">
        <f t="shared" si="1"/>
        <v>24000</v>
      </c>
      <c r="T36" s="30">
        <f t="shared" si="2"/>
        <v>24000</v>
      </c>
      <c r="Y36" s="17">
        <f t="shared" ref="Y36:Y60" si="6">SUM(T36:X36)-O36</f>
        <v>0</v>
      </c>
    </row>
    <row r="37" spans="1:25" s="42" customFormat="1" x14ac:dyDescent="0.25">
      <c r="A37" s="44" t="s">
        <v>75</v>
      </c>
      <c r="B37" s="45"/>
      <c r="C37" s="3" t="s">
        <v>76</v>
      </c>
      <c r="D37" s="16">
        <v>-1950000</v>
      </c>
      <c r="E37" s="30">
        <v>-1055000</v>
      </c>
      <c r="F37" s="8"/>
      <c r="G37" s="30"/>
      <c r="I37" s="42" t="s">
        <v>76</v>
      </c>
      <c r="J37" s="7">
        <f>D41</f>
        <v>0</v>
      </c>
      <c r="M37" s="30">
        <f>F37</f>
        <v>0</v>
      </c>
      <c r="N37" s="8">
        <f t="shared" si="3"/>
        <v>0</v>
      </c>
      <c r="O37" s="30">
        <f>-N37</f>
        <v>0</v>
      </c>
      <c r="P37" s="7">
        <f t="shared" si="4"/>
        <v>0</v>
      </c>
      <c r="Q37" s="3"/>
      <c r="S37" s="7">
        <f t="shared" si="1"/>
        <v>0</v>
      </c>
      <c r="T37" s="30">
        <f t="shared" si="2"/>
        <v>0</v>
      </c>
      <c r="Y37" s="30"/>
    </row>
    <row r="38" spans="1:25" s="42" customFormat="1" x14ac:dyDescent="0.25">
      <c r="A38" s="44" t="s">
        <v>77</v>
      </c>
      <c r="B38" s="45"/>
      <c r="C38" s="3" t="s">
        <v>78</v>
      </c>
      <c r="D38" s="46">
        <v>-17887836.699999999</v>
      </c>
      <c r="E38" s="30"/>
      <c r="F38" s="8"/>
      <c r="G38" s="30"/>
      <c r="I38" s="42" t="s">
        <v>78</v>
      </c>
      <c r="J38" s="17">
        <f>D38</f>
        <v>-17887836.699999999</v>
      </c>
      <c r="M38" s="30">
        <f>F38</f>
        <v>0</v>
      </c>
      <c r="N38" s="8">
        <f t="shared" si="3"/>
        <v>-17887836.699999999</v>
      </c>
      <c r="O38" s="30">
        <f>-N38</f>
        <v>17887836.699999999</v>
      </c>
      <c r="P38" s="7">
        <f t="shared" si="4"/>
        <v>17887836.699999999</v>
      </c>
      <c r="Q38" s="3"/>
      <c r="S38" s="7">
        <f t="shared" si="1"/>
        <v>17887836.699999999</v>
      </c>
      <c r="T38" s="30">
        <f>-N38</f>
        <v>17887836.699999999</v>
      </c>
      <c r="Y38" s="30"/>
    </row>
    <row r="39" spans="1:25" s="42" customFormat="1" x14ac:dyDescent="0.25">
      <c r="A39" s="44" t="s">
        <v>77</v>
      </c>
      <c r="B39" s="45"/>
      <c r="C39" s="3" t="s">
        <v>79</v>
      </c>
      <c r="D39" s="46">
        <v>-4663200</v>
      </c>
      <c r="E39" s="30"/>
      <c r="F39" s="8"/>
      <c r="G39" s="30"/>
      <c r="J39" s="17"/>
      <c r="M39" s="30"/>
      <c r="N39" s="8"/>
      <c r="O39" s="30"/>
      <c r="P39" s="7"/>
      <c r="Q39" s="3"/>
      <c r="S39" s="7"/>
      <c r="T39" s="30"/>
      <c r="Y39" s="30"/>
    </row>
    <row r="40" spans="1:25" s="38" customFormat="1" x14ac:dyDescent="0.25">
      <c r="A40" s="47" t="s">
        <v>80</v>
      </c>
      <c r="B40" s="45"/>
      <c r="C40" s="40" t="s">
        <v>81</v>
      </c>
      <c r="D40" s="16">
        <v>-24000</v>
      </c>
      <c r="E40" s="8"/>
      <c r="G40" s="48"/>
      <c r="I40" s="38" t="str">
        <f>+C40</f>
        <v>Recargos, multas y otros ingresos</v>
      </c>
      <c r="J40" s="7">
        <f>G2</f>
        <v>0</v>
      </c>
      <c r="M40" s="30"/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ref="T40:T51" si="7">-N40</f>
        <v>0</v>
      </c>
      <c r="Y40" s="8">
        <f t="shared" si="6"/>
        <v>0</v>
      </c>
    </row>
    <row r="41" spans="1:25" s="40" customFormat="1" x14ac:dyDescent="0.25">
      <c r="A41" s="39"/>
      <c r="B41" s="2"/>
      <c r="D41" s="16"/>
      <c r="E41" s="30"/>
      <c r="F41" s="8"/>
      <c r="J41" s="17"/>
      <c r="M41" s="30">
        <f>F41</f>
        <v>0</v>
      </c>
      <c r="N41" s="8">
        <f t="shared" si="3"/>
        <v>0</v>
      </c>
      <c r="O41" s="17"/>
      <c r="P41" s="7">
        <f t="shared" si="4"/>
        <v>0</v>
      </c>
      <c r="Q41" s="3"/>
      <c r="S41" s="7">
        <f t="shared" si="1"/>
        <v>0</v>
      </c>
      <c r="T41" s="30">
        <f t="shared" si="7"/>
        <v>0</v>
      </c>
      <c r="Y41" s="17">
        <f t="shared" si="6"/>
        <v>0</v>
      </c>
    </row>
    <row r="42" spans="1:25" s="40" customFormat="1" x14ac:dyDescent="0.25">
      <c r="A42" s="39" t="s">
        <v>33</v>
      </c>
      <c r="B42" s="2"/>
      <c r="C42" s="27" t="s">
        <v>82</v>
      </c>
      <c r="D42" s="41"/>
      <c r="E42" s="30"/>
      <c r="F42" s="8"/>
      <c r="J42" s="17"/>
      <c r="M42" s="17"/>
      <c r="N42" s="8">
        <f t="shared" si="3"/>
        <v>0</v>
      </c>
      <c r="O42" s="17"/>
      <c r="P42" s="7">
        <f t="shared" si="4"/>
        <v>0</v>
      </c>
      <c r="Q42" s="3"/>
      <c r="S42" s="7">
        <f t="shared" si="1"/>
        <v>0</v>
      </c>
      <c r="T42" s="30">
        <f t="shared" si="7"/>
        <v>0</v>
      </c>
      <c r="Y42" s="17">
        <f t="shared" si="6"/>
        <v>0</v>
      </c>
    </row>
    <row r="43" spans="1:25" s="40" customFormat="1" ht="15.75" x14ac:dyDescent="0.25">
      <c r="A43" s="39"/>
      <c r="B43" s="2"/>
      <c r="C43" s="49" t="s">
        <v>83</v>
      </c>
      <c r="D43" s="43"/>
      <c r="E43" s="30"/>
      <c r="F43" s="8"/>
      <c r="M43" s="17"/>
      <c r="N43" s="8">
        <f t="shared" si="3"/>
        <v>0</v>
      </c>
      <c r="O43" s="17"/>
      <c r="P43" s="7">
        <f t="shared" si="4"/>
        <v>0</v>
      </c>
      <c r="Q43" s="3"/>
      <c r="S43" s="7">
        <f t="shared" si="1"/>
        <v>0</v>
      </c>
      <c r="T43" s="30">
        <f t="shared" si="7"/>
        <v>0</v>
      </c>
      <c r="Y43" s="17">
        <f t="shared" si="6"/>
        <v>0</v>
      </c>
    </row>
    <row r="44" spans="1:25" s="40" customFormat="1" x14ac:dyDescent="0.25">
      <c r="A44" s="39"/>
      <c r="B44" s="2"/>
      <c r="C44" s="50" t="s">
        <v>84</v>
      </c>
      <c r="D44" s="43"/>
      <c r="E44" s="30"/>
      <c r="F44" s="8"/>
      <c r="M44" s="17"/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x14ac:dyDescent="0.25">
      <c r="A45" s="1" t="s">
        <v>85</v>
      </c>
      <c r="B45" s="2" t="s">
        <v>86</v>
      </c>
      <c r="C45" s="51" t="s">
        <v>87</v>
      </c>
      <c r="D45" s="16">
        <v>9180934.1300000008</v>
      </c>
      <c r="E45" s="8"/>
      <c r="F45" s="8"/>
      <c r="H45" s="3" t="s">
        <v>51</v>
      </c>
      <c r="I45" s="3" t="str">
        <f t="shared" ref="I45:I50" si="8">+C45</f>
        <v>Sueldos fijos</v>
      </c>
      <c r="J45" s="7">
        <f>D45</f>
        <v>9180934.1300000008</v>
      </c>
      <c r="M45" s="7">
        <f>F45</f>
        <v>0</v>
      </c>
      <c r="N45" s="8">
        <f t="shared" si="3"/>
        <v>9180934.1300000008</v>
      </c>
      <c r="O45" s="7">
        <f t="shared" ref="O45:O108" si="9">-N45</f>
        <v>-9180934.1300000008</v>
      </c>
      <c r="P45" s="7">
        <f t="shared" si="4"/>
        <v>-9180934.1300000008</v>
      </c>
      <c r="S45" s="7">
        <f t="shared" si="1"/>
        <v>-9180934.1300000008</v>
      </c>
      <c r="T45" s="30">
        <f t="shared" si="7"/>
        <v>-9180934.1300000008</v>
      </c>
      <c r="U45" s="7">
        <f>N45</f>
        <v>9180934.1300000008</v>
      </c>
      <c r="V45" s="7"/>
      <c r="Y45" s="7">
        <f t="shared" si="6"/>
        <v>9180934.1300000008</v>
      </c>
    </row>
    <row r="46" spans="1:25" x14ac:dyDescent="0.25">
      <c r="A46" s="1" t="s">
        <v>85</v>
      </c>
      <c r="B46" s="2" t="s">
        <v>88</v>
      </c>
      <c r="C46" s="51" t="s">
        <v>89</v>
      </c>
      <c r="D46" s="16"/>
      <c r="E46" s="8"/>
      <c r="F46" s="8"/>
      <c r="H46" s="3" t="s">
        <v>51</v>
      </c>
      <c r="I46" s="3" t="str">
        <f t="shared" si="8"/>
        <v>Sueldos al personal contratado y/o igualado</v>
      </c>
      <c r="J46" s="7">
        <f>+D46</f>
        <v>0</v>
      </c>
      <c r="M46" s="7">
        <f t="shared" ref="M46:M109" si="10">F46</f>
        <v>0</v>
      </c>
      <c r="N46" s="8">
        <f t="shared" si="3"/>
        <v>0</v>
      </c>
      <c r="O46" s="7">
        <f t="shared" si="9"/>
        <v>0</v>
      </c>
      <c r="P46" s="7">
        <f t="shared" si="4"/>
        <v>0</v>
      </c>
      <c r="S46" s="7">
        <f t="shared" si="1"/>
        <v>0</v>
      </c>
      <c r="T46" s="30">
        <f t="shared" si="7"/>
        <v>0</v>
      </c>
      <c r="U46" s="7">
        <f t="shared" ref="U46:U61" si="11">+O46</f>
        <v>0</v>
      </c>
      <c r="V46" s="7"/>
      <c r="Y46" s="7">
        <f t="shared" si="6"/>
        <v>0</v>
      </c>
    </row>
    <row r="47" spans="1:25" x14ac:dyDescent="0.25">
      <c r="A47" s="1" t="s">
        <v>85</v>
      </c>
      <c r="B47" s="2" t="s">
        <v>54</v>
      </c>
      <c r="C47" s="51" t="s">
        <v>90</v>
      </c>
      <c r="D47" s="16"/>
      <c r="E47" s="8"/>
      <c r="F47" s="8"/>
      <c r="H47" s="3" t="s">
        <v>51</v>
      </c>
      <c r="I47" s="3" t="str">
        <f t="shared" si="8"/>
        <v>Sueldo al personal nominal en periodo probatorio</v>
      </c>
      <c r="J47" s="7">
        <f>+D47</f>
        <v>0</v>
      </c>
      <c r="M47" s="7">
        <f t="shared" si="10"/>
        <v>0</v>
      </c>
      <c r="N47" s="8">
        <f t="shared" si="3"/>
        <v>0</v>
      </c>
      <c r="O47" s="7">
        <f t="shared" si="9"/>
        <v>0</v>
      </c>
      <c r="P47" s="7">
        <f t="shared" si="4"/>
        <v>0</v>
      </c>
      <c r="S47" s="7">
        <f t="shared" si="1"/>
        <v>0</v>
      </c>
      <c r="T47" s="30">
        <f t="shared" si="7"/>
        <v>0</v>
      </c>
      <c r="U47" s="7">
        <f t="shared" si="11"/>
        <v>0</v>
      </c>
      <c r="V47" s="7"/>
      <c r="Y47" s="7">
        <f t="shared" si="6"/>
        <v>0</v>
      </c>
    </row>
    <row r="48" spans="1:25" x14ac:dyDescent="0.25">
      <c r="A48" s="1" t="s">
        <v>85</v>
      </c>
      <c r="B48" s="2" t="s">
        <v>58</v>
      </c>
      <c r="C48" s="51" t="s">
        <v>91</v>
      </c>
      <c r="D48" s="16"/>
      <c r="E48" s="8"/>
      <c r="F48" s="8"/>
      <c r="H48" s="3" t="s">
        <v>51</v>
      </c>
      <c r="I48" s="3" t="str">
        <f t="shared" si="8"/>
        <v>Sueldo anual no. 13</v>
      </c>
      <c r="J48" s="7">
        <f>+D48</f>
        <v>0</v>
      </c>
      <c r="M48" s="7">
        <f t="shared" si="10"/>
        <v>0</v>
      </c>
      <c r="N48" s="8">
        <f t="shared" si="3"/>
        <v>0</v>
      </c>
      <c r="O48" s="7">
        <f t="shared" si="9"/>
        <v>0</v>
      </c>
      <c r="P48" s="7">
        <f t="shared" si="4"/>
        <v>0</v>
      </c>
      <c r="S48" s="7">
        <f t="shared" si="1"/>
        <v>0</v>
      </c>
      <c r="T48" s="30">
        <f t="shared" si="7"/>
        <v>0</v>
      </c>
      <c r="U48" s="7">
        <f t="shared" si="11"/>
        <v>0</v>
      </c>
      <c r="V48" s="7"/>
      <c r="Y48" s="7">
        <f t="shared" si="6"/>
        <v>0</v>
      </c>
    </row>
    <row r="49" spans="1:25" x14ac:dyDescent="0.25">
      <c r="A49" s="1" t="s">
        <v>85</v>
      </c>
      <c r="B49" s="52" t="s">
        <v>92</v>
      </c>
      <c r="C49" s="3" t="s">
        <v>93</v>
      </c>
      <c r="D49" s="16"/>
      <c r="E49" s="8"/>
      <c r="F49" s="8"/>
      <c r="I49" s="3" t="str">
        <f t="shared" si="8"/>
        <v>Prestaciones económicas</v>
      </c>
      <c r="J49" s="7">
        <f>+D49</f>
        <v>0</v>
      </c>
      <c r="M49" s="7">
        <f t="shared" si="10"/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si="11"/>
        <v>0</v>
      </c>
      <c r="V49" s="7"/>
      <c r="Y49" s="7">
        <f t="shared" si="6"/>
        <v>0</v>
      </c>
    </row>
    <row r="50" spans="1:25" x14ac:dyDescent="0.25">
      <c r="A50" s="1" t="s">
        <v>85</v>
      </c>
      <c r="B50" s="2" t="s">
        <v>94</v>
      </c>
      <c r="C50" s="51" t="s">
        <v>95</v>
      </c>
      <c r="D50" s="16"/>
      <c r="E50" s="8"/>
      <c r="F50" s="8"/>
      <c r="H50" s="3" t="s">
        <v>51</v>
      </c>
      <c r="I50" s="3" t="str">
        <f t="shared" si="8"/>
        <v>Proporción de vacaciones no disfrutadas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s="40" customFormat="1" x14ac:dyDescent="0.25">
      <c r="A51" s="39"/>
      <c r="B51" s="2"/>
      <c r="C51" s="50" t="s">
        <v>96</v>
      </c>
      <c r="D51" s="41"/>
      <c r="E51" s="30"/>
      <c r="F51" s="8"/>
      <c r="J51" s="17"/>
      <c r="M51" s="7">
        <f t="shared" si="10"/>
        <v>0</v>
      </c>
      <c r="N51" s="8">
        <f t="shared" si="3"/>
        <v>0</v>
      </c>
      <c r="O51" s="17">
        <f t="shared" si="9"/>
        <v>0</v>
      </c>
      <c r="P51" s="7">
        <f t="shared" si="4"/>
        <v>0</v>
      </c>
      <c r="Q51" s="3"/>
      <c r="S51" s="7">
        <f t="shared" si="1"/>
        <v>0</v>
      </c>
      <c r="T51" s="30">
        <f t="shared" si="7"/>
        <v>0</v>
      </c>
      <c r="Y51" s="17">
        <f t="shared" si="6"/>
        <v>0</v>
      </c>
    </row>
    <row r="52" spans="1:25" x14ac:dyDescent="0.25">
      <c r="A52" s="1" t="s">
        <v>85</v>
      </c>
      <c r="B52" s="2" t="s">
        <v>97</v>
      </c>
      <c r="C52" s="51" t="s">
        <v>98</v>
      </c>
      <c r="D52" s="16"/>
      <c r="E52" s="8"/>
      <c r="F52" s="8"/>
      <c r="H52" s="3" t="s">
        <v>51</v>
      </c>
      <c r="I52" s="3" t="str">
        <f t="shared" ref="I52:J54" si="12">+C52</f>
        <v>Compensación por horas extraordinarias</v>
      </c>
      <c r="J52" s="7">
        <f t="shared" si="12"/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>SUM(N52:R52)</f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85</v>
      </c>
      <c r="B53" s="2" t="s">
        <v>62</v>
      </c>
      <c r="C53" s="51" t="s">
        <v>99</v>
      </c>
      <c r="D53" s="16"/>
      <c r="E53" s="8"/>
      <c r="F53" s="8"/>
      <c r="H53" s="3" t="s">
        <v>51</v>
      </c>
      <c r="I53" s="3" t="str">
        <f t="shared" si="12"/>
        <v>Compensación por servicio de seguridad</v>
      </c>
      <c r="J53" s="7">
        <f t="shared" si="12"/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85</v>
      </c>
      <c r="B54" s="2" t="s">
        <v>100</v>
      </c>
      <c r="C54" s="51" t="s">
        <v>101</v>
      </c>
      <c r="D54" s="16"/>
      <c r="E54" s="8"/>
      <c r="F54" s="8"/>
      <c r="H54" s="3" t="s">
        <v>51</v>
      </c>
      <c r="I54" s="3" t="str">
        <f t="shared" si="12"/>
        <v>Bono por desempeño</v>
      </c>
      <c r="J54" s="7">
        <f t="shared" si="12"/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102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Y55" s="17">
        <f t="shared" si="6"/>
        <v>0</v>
      </c>
    </row>
    <row r="56" spans="1:25" x14ac:dyDescent="0.25">
      <c r="A56" s="1" t="s">
        <v>85</v>
      </c>
      <c r="B56" s="2" t="s">
        <v>103</v>
      </c>
      <c r="C56" s="51" t="s">
        <v>104</v>
      </c>
      <c r="D56" s="16"/>
      <c r="E56" s="8"/>
      <c r="F56" s="8"/>
      <c r="H56" s="3" t="s">
        <v>51</v>
      </c>
      <c r="I56" s="3" t="str">
        <f>+C56</f>
        <v>Gratificaciones por aniversario de institución</v>
      </c>
      <c r="J56" s="7">
        <f>+D56</f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 t="shared" si="1"/>
        <v>0</v>
      </c>
      <c r="U56" s="7">
        <f t="shared" si="11"/>
        <v>0</v>
      </c>
      <c r="V56" s="7"/>
      <c r="Y56" s="7">
        <f t="shared" si="6"/>
        <v>0</v>
      </c>
    </row>
    <row r="57" spans="1:25" s="40" customFormat="1" x14ac:dyDescent="0.25">
      <c r="A57" s="39"/>
      <c r="B57" s="2"/>
      <c r="C57" s="50" t="s">
        <v>105</v>
      </c>
      <c r="D57" s="41"/>
      <c r="E57" s="30"/>
      <c r="F57" s="8"/>
      <c r="J57" s="17"/>
      <c r="M57" s="7">
        <f t="shared" si="10"/>
        <v>0</v>
      </c>
      <c r="N57" s="8">
        <f t="shared" si="3"/>
        <v>0</v>
      </c>
      <c r="O57" s="17">
        <f t="shared" si="9"/>
        <v>0</v>
      </c>
      <c r="P57" s="7">
        <f t="shared" si="4"/>
        <v>0</v>
      </c>
      <c r="Q57" s="3"/>
      <c r="S57" s="7">
        <f t="shared" si="1"/>
        <v>0</v>
      </c>
      <c r="U57" s="7">
        <f t="shared" si="11"/>
        <v>0</v>
      </c>
      <c r="Y57" s="17">
        <f t="shared" si="6"/>
        <v>0</v>
      </c>
    </row>
    <row r="58" spans="1:25" x14ac:dyDescent="0.25">
      <c r="A58" s="1" t="s">
        <v>85</v>
      </c>
      <c r="B58" s="2" t="s">
        <v>64</v>
      </c>
      <c r="C58" s="51" t="s">
        <v>106</v>
      </c>
      <c r="D58" s="53">
        <v>1261449.5699999998</v>
      </c>
      <c r="E58" s="8"/>
      <c r="F58" s="8"/>
      <c r="H58" s="3" t="s">
        <v>51</v>
      </c>
      <c r="I58" s="3" t="str">
        <f t="shared" ref="I58:J60" si="13">+C58</f>
        <v>Contribuciones al seguro de salud</v>
      </c>
      <c r="J58" s="7">
        <f t="shared" si="13"/>
        <v>1261449.5699999998</v>
      </c>
      <c r="M58" s="7">
        <f t="shared" si="10"/>
        <v>0</v>
      </c>
      <c r="N58" s="8">
        <f t="shared" si="3"/>
        <v>1261449.5699999998</v>
      </c>
      <c r="O58" s="7">
        <f t="shared" si="9"/>
        <v>-1261449.5699999998</v>
      </c>
      <c r="P58" s="7">
        <f t="shared" si="4"/>
        <v>-1261449.5699999998</v>
      </c>
      <c r="S58" s="7">
        <f t="shared" si="1"/>
        <v>-1261449.5699999998</v>
      </c>
      <c r="U58" s="7"/>
      <c r="V58" s="7">
        <f>N58</f>
        <v>1261449.5699999998</v>
      </c>
      <c r="Y58" s="7">
        <f t="shared" si="6"/>
        <v>2522899.1399999997</v>
      </c>
    </row>
    <row r="59" spans="1:25" x14ac:dyDescent="0.25">
      <c r="A59" s="1" t="s">
        <v>85</v>
      </c>
      <c r="C59" s="51" t="s">
        <v>107</v>
      </c>
      <c r="D59" s="16"/>
      <c r="E59" s="8"/>
      <c r="F59" s="8"/>
      <c r="H59" s="3" t="s">
        <v>51</v>
      </c>
      <c r="I59" s="3" t="str">
        <f t="shared" si="13"/>
        <v xml:space="preserve">Contribuciones al seguro de pensiones </v>
      </c>
      <c r="J59" s="7">
        <f t="shared" si="13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>
        <f>+O59</f>
        <v>0</v>
      </c>
      <c r="Y59" s="7">
        <f t="shared" si="6"/>
        <v>0</v>
      </c>
    </row>
    <row r="60" spans="1:25" x14ac:dyDescent="0.25">
      <c r="A60" s="1" t="s">
        <v>85</v>
      </c>
      <c r="C60" s="51" t="s">
        <v>108</v>
      </c>
      <c r="D60" s="16"/>
      <c r="E60" s="8"/>
      <c r="F60" s="8"/>
      <c r="H60" s="3" t="s">
        <v>51</v>
      </c>
      <c r="I60" s="3" t="str">
        <f t="shared" si="13"/>
        <v>Contribuciones al seguro de riesgo laboral</v>
      </c>
      <c r="J60" s="7">
        <f t="shared" si="13"/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>SUM(N60:R60)</f>
        <v>0</v>
      </c>
      <c r="U60" s="7">
        <f t="shared" si="11"/>
        <v>0</v>
      </c>
      <c r="V60" s="7">
        <f>+O60</f>
        <v>0</v>
      </c>
      <c r="Y60" s="7">
        <f t="shared" si="6"/>
        <v>0</v>
      </c>
    </row>
    <row r="61" spans="1:25" s="40" customFormat="1" ht="15.75" x14ac:dyDescent="0.25">
      <c r="A61" s="39"/>
      <c r="B61" s="2"/>
      <c r="C61" s="49" t="s">
        <v>109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ref="Y61:Y124" si="14">SUM(T61:X61)-O61</f>
        <v>0</v>
      </c>
    </row>
    <row r="62" spans="1:25" s="40" customFormat="1" x14ac:dyDescent="0.25">
      <c r="A62" s="39"/>
      <c r="B62" s="2"/>
      <c r="C62" s="50" t="s">
        <v>110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Y62" s="17">
        <f t="shared" si="14"/>
        <v>0</v>
      </c>
    </row>
    <row r="63" spans="1:25" x14ac:dyDescent="0.25">
      <c r="A63" s="1" t="s">
        <v>111</v>
      </c>
      <c r="C63" s="51" t="s">
        <v>112</v>
      </c>
      <c r="D63" s="16"/>
      <c r="E63" s="8"/>
      <c r="F63" s="8"/>
      <c r="H63" s="3" t="s">
        <v>51</v>
      </c>
      <c r="I63" s="3" t="str">
        <f t="shared" ref="I63:J67" si="15">+C63</f>
        <v>Servicios telefónico de larga distancia</v>
      </c>
      <c r="J63" s="7">
        <f t="shared" si="15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W63" s="7">
        <f>+O63</f>
        <v>0</v>
      </c>
      <c r="Y63" s="7">
        <f t="shared" si="14"/>
        <v>0</v>
      </c>
    </row>
    <row r="64" spans="1:25" x14ac:dyDescent="0.25">
      <c r="A64" s="1" t="s">
        <v>111</v>
      </c>
      <c r="C64" s="51" t="s">
        <v>113</v>
      </c>
      <c r="D64" s="16"/>
      <c r="E64" s="8"/>
      <c r="F64" s="8"/>
      <c r="H64" s="3" t="s">
        <v>51</v>
      </c>
      <c r="I64" s="3" t="str">
        <f t="shared" si="15"/>
        <v>Teléfono local</v>
      </c>
      <c r="J64" s="7">
        <f t="shared" si="15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W64" s="7">
        <f>+O64</f>
        <v>0</v>
      </c>
      <c r="Y64" s="7">
        <f t="shared" si="14"/>
        <v>0</v>
      </c>
    </row>
    <row r="65" spans="1:25" x14ac:dyDescent="0.25">
      <c r="A65" s="1" t="s">
        <v>111</v>
      </c>
      <c r="C65" s="51" t="s">
        <v>114</v>
      </c>
      <c r="D65" s="16"/>
      <c r="E65" s="8"/>
      <c r="F65" s="8"/>
      <c r="H65" s="3" t="s">
        <v>51</v>
      </c>
      <c r="I65" s="3" t="str">
        <f t="shared" si="15"/>
        <v>Telefax y correo</v>
      </c>
      <c r="J65" s="7">
        <f t="shared" si="15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 t="shared" si="1"/>
        <v>0</v>
      </c>
      <c r="W65" s="7">
        <f>+O65</f>
        <v>0</v>
      </c>
      <c r="Y65" s="7">
        <f t="shared" si="14"/>
        <v>0</v>
      </c>
    </row>
    <row r="66" spans="1:25" x14ac:dyDescent="0.25">
      <c r="A66" s="1" t="s">
        <v>111</v>
      </c>
      <c r="C66" s="51" t="s">
        <v>115</v>
      </c>
      <c r="D66" s="16"/>
      <c r="E66" s="8"/>
      <c r="F66" s="8"/>
      <c r="H66" s="3" t="s">
        <v>51</v>
      </c>
      <c r="I66" s="3" t="str">
        <f t="shared" si="15"/>
        <v>Servicio de internet y televisión por cable</v>
      </c>
      <c r="J66" s="7">
        <f t="shared" si="15"/>
        <v>0</v>
      </c>
      <c r="M66" s="7">
        <f t="shared" si="10"/>
        <v>0</v>
      </c>
      <c r="N66" s="8">
        <f t="shared" si="3"/>
        <v>0</v>
      </c>
      <c r="O66" s="7">
        <f t="shared" si="9"/>
        <v>0</v>
      </c>
      <c r="P66" s="7">
        <f t="shared" si="4"/>
        <v>0</v>
      </c>
      <c r="S66" s="7">
        <f t="shared" si="1"/>
        <v>0</v>
      </c>
      <c r="W66" s="7">
        <f>+O66</f>
        <v>0</v>
      </c>
      <c r="Y66" s="7">
        <f t="shared" si="14"/>
        <v>0</v>
      </c>
    </row>
    <row r="67" spans="1:25" x14ac:dyDescent="0.25">
      <c r="A67" s="1" t="s">
        <v>111</v>
      </c>
      <c r="C67" s="51" t="s">
        <v>116</v>
      </c>
      <c r="D67" s="16"/>
      <c r="E67" s="8"/>
      <c r="F67" s="8"/>
      <c r="H67" s="3" t="s">
        <v>51</v>
      </c>
      <c r="I67" s="3" t="str">
        <f t="shared" si="15"/>
        <v>Energía eléctrica</v>
      </c>
      <c r="J67" s="7">
        <f t="shared" si="15"/>
        <v>0</v>
      </c>
      <c r="M67" s="7">
        <f t="shared" si="10"/>
        <v>0</v>
      </c>
      <c r="N67" s="8">
        <f t="shared" si="3"/>
        <v>0</v>
      </c>
      <c r="O67" s="7">
        <f t="shared" si="9"/>
        <v>0</v>
      </c>
      <c r="P67" s="7">
        <f t="shared" si="4"/>
        <v>0</v>
      </c>
      <c r="S67" s="7">
        <f t="shared" si="1"/>
        <v>0</v>
      </c>
      <c r="W67" s="7">
        <f>+O67</f>
        <v>0</v>
      </c>
      <c r="Y67" s="7">
        <f t="shared" si="14"/>
        <v>0</v>
      </c>
    </row>
    <row r="68" spans="1:25" s="40" customFormat="1" x14ac:dyDescent="0.25">
      <c r="A68" s="39"/>
      <c r="B68" s="2"/>
      <c r="C68" s="50" t="s">
        <v>117</v>
      </c>
      <c r="D68" s="41"/>
      <c r="E68" s="30"/>
      <c r="F68" s="8"/>
      <c r="J68" s="17"/>
      <c r="M68" s="7">
        <f t="shared" si="10"/>
        <v>0</v>
      </c>
      <c r="N68" s="8">
        <f t="shared" si="3"/>
        <v>0</v>
      </c>
      <c r="O68" s="17">
        <f t="shared" si="9"/>
        <v>0</v>
      </c>
      <c r="P68" s="7">
        <f t="shared" si="4"/>
        <v>0</v>
      </c>
      <c r="Q68" s="3"/>
      <c r="S68" s="7">
        <f>SUM(N68:R68)</f>
        <v>0</v>
      </c>
      <c r="Y68" s="17">
        <f t="shared" si="14"/>
        <v>0</v>
      </c>
    </row>
    <row r="69" spans="1:25" x14ac:dyDescent="0.25">
      <c r="A69" s="1" t="s">
        <v>111</v>
      </c>
      <c r="C69" s="51" t="s">
        <v>118</v>
      </c>
      <c r="D69" s="16"/>
      <c r="E69" s="8"/>
      <c r="F69" s="8"/>
      <c r="H69" s="3" t="s">
        <v>51</v>
      </c>
      <c r="I69" s="3" t="str">
        <f>+C69</f>
        <v>Publicidad y propaganda</v>
      </c>
      <c r="J69" s="7">
        <f>+D69</f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111</v>
      </c>
      <c r="C70" s="51" t="s">
        <v>119</v>
      </c>
      <c r="D70" s="16"/>
      <c r="E70" s="8"/>
      <c r="F70" s="8"/>
      <c r="H70" s="3" t="s">
        <v>51</v>
      </c>
      <c r="I70" s="3" t="str">
        <f>+C70</f>
        <v>Impresión y encuadernación</v>
      </c>
      <c r="J70" s="7">
        <f>+D70</f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s="40" customFormat="1" x14ac:dyDescent="0.25">
      <c r="A71" s="39"/>
      <c r="B71" s="2"/>
      <c r="C71" s="50" t="s">
        <v>120</v>
      </c>
      <c r="D71" s="41"/>
      <c r="E71" s="30"/>
      <c r="F71" s="8"/>
      <c r="J71" s="17"/>
      <c r="M71" s="7">
        <f t="shared" si="10"/>
        <v>0</v>
      </c>
      <c r="N71" s="8">
        <f t="shared" si="3"/>
        <v>0</v>
      </c>
      <c r="O71" s="17">
        <f t="shared" si="9"/>
        <v>0</v>
      </c>
      <c r="P71" s="7">
        <f t="shared" si="4"/>
        <v>0</v>
      </c>
      <c r="Q71" s="3"/>
      <c r="S71" s="7">
        <f t="shared" si="1"/>
        <v>0</v>
      </c>
      <c r="Y71" s="17">
        <f t="shared" si="14"/>
        <v>0</v>
      </c>
    </row>
    <row r="72" spans="1:25" x14ac:dyDescent="0.25">
      <c r="A72" s="1" t="s">
        <v>111</v>
      </c>
      <c r="C72" s="51" t="s">
        <v>121</v>
      </c>
      <c r="D72" s="16"/>
      <c r="E72" s="8"/>
      <c r="F72" s="8"/>
      <c r="H72" s="3" t="s">
        <v>51</v>
      </c>
      <c r="I72" s="3" t="str">
        <f>+C72</f>
        <v>Viáticos dentro del país</v>
      </c>
      <c r="J72" s="7">
        <f>+D72</f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111</v>
      </c>
      <c r="C73" s="51" t="s">
        <v>122</v>
      </c>
      <c r="D73" s="16"/>
      <c r="E73" s="8"/>
      <c r="F73" s="8"/>
      <c r="H73" s="3" t="s">
        <v>51</v>
      </c>
      <c r="I73" s="3" t="str">
        <f>+C73</f>
        <v>Viáticos fuera del país</v>
      </c>
      <c r="J73" s="7">
        <f>+D73</f>
        <v>0</v>
      </c>
      <c r="M73" s="7">
        <f t="shared" si="10"/>
        <v>0</v>
      </c>
      <c r="N73" s="8">
        <f t="shared" si="3"/>
        <v>0</v>
      </c>
      <c r="O73" s="7">
        <f t="shared" si="9"/>
        <v>0</v>
      </c>
      <c r="P73" s="7">
        <f t="shared" si="4"/>
        <v>0</v>
      </c>
      <c r="S73" s="7">
        <f t="shared" si="1"/>
        <v>0</v>
      </c>
      <c r="W73" s="7">
        <f>+O73</f>
        <v>0</v>
      </c>
      <c r="Y73" s="7">
        <f t="shared" si="14"/>
        <v>0</v>
      </c>
    </row>
    <row r="74" spans="1:25" s="40" customFormat="1" x14ac:dyDescent="0.25">
      <c r="A74" s="39"/>
      <c r="B74" s="2"/>
      <c r="C74" s="50" t="s">
        <v>123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 t="shared" si="1"/>
        <v>0</v>
      </c>
      <c r="Y74" s="17">
        <f t="shared" si="14"/>
        <v>0</v>
      </c>
    </row>
    <row r="75" spans="1:25" x14ac:dyDescent="0.25">
      <c r="A75" s="1" t="s">
        <v>111</v>
      </c>
      <c r="C75" s="3" t="s">
        <v>124</v>
      </c>
      <c r="D75" s="16"/>
      <c r="E75" s="8"/>
      <c r="F75" s="8"/>
      <c r="H75" s="3" t="s">
        <v>51</v>
      </c>
      <c r="I75" s="3" t="str">
        <f>+C75</f>
        <v>Pasajes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111</v>
      </c>
      <c r="C76" s="3" t="s">
        <v>125</v>
      </c>
      <c r="D76" s="16"/>
      <c r="E76" s="8"/>
      <c r="F76" s="8"/>
      <c r="H76" s="3" t="s">
        <v>51</v>
      </c>
      <c r="I76" s="3" t="str">
        <f>+C76</f>
        <v>Peajes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ref="S76:S82" si="16">SUM(N76:R76)</f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126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6"/>
        <v>0</v>
      </c>
      <c r="Y77" s="17">
        <f t="shared" si="14"/>
        <v>0</v>
      </c>
    </row>
    <row r="78" spans="1:25" x14ac:dyDescent="0.25">
      <c r="A78" s="1" t="s">
        <v>111</v>
      </c>
      <c r="C78" s="51" t="s">
        <v>127</v>
      </c>
      <c r="D78" s="16"/>
      <c r="E78" s="8"/>
      <c r="F78" s="8"/>
      <c r="H78" s="3" t="s">
        <v>51</v>
      </c>
      <c r="I78" s="3" t="str">
        <f t="shared" ref="I78:J80" si="17">+C78</f>
        <v>Edificios y locales</v>
      </c>
      <c r="J78" s="7">
        <f t="shared" si="17"/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6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111</v>
      </c>
      <c r="B79" s="54" t="s">
        <v>128</v>
      </c>
      <c r="C79" s="3" t="s">
        <v>129</v>
      </c>
      <c r="D79" s="16"/>
      <c r="E79" s="8"/>
      <c r="F79" s="8"/>
      <c r="H79" s="3" t="s">
        <v>51</v>
      </c>
      <c r="I79" s="3" t="str">
        <f t="shared" si="17"/>
        <v>Alquiler de vehículo</v>
      </c>
      <c r="J79" s="7">
        <f t="shared" si="17"/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6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111</v>
      </c>
      <c r="C80" s="51" t="s">
        <v>130</v>
      </c>
      <c r="D80" s="16"/>
      <c r="E80" s="8"/>
      <c r="F80" s="8"/>
      <c r="H80" s="3" t="s">
        <v>51</v>
      </c>
      <c r="I80" s="3" t="str">
        <f t="shared" si="17"/>
        <v>Otros alquileres</v>
      </c>
      <c r="J80" s="7">
        <f t="shared" si="17"/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6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131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6"/>
        <v>0</v>
      </c>
      <c r="Y81" s="17">
        <f t="shared" si="14"/>
        <v>0</v>
      </c>
    </row>
    <row r="82" spans="1:25" x14ac:dyDescent="0.25">
      <c r="A82" s="1" t="s">
        <v>111</v>
      </c>
      <c r="C82" s="51" t="s">
        <v>132</v>
      </c>
      <c r="D82" s="16"/>
      <c r="E82" s="8"/>
      <c r="F82" s="8"/>
      <c r="H82" s="3" t="s">
        <v>51</v>
      </c>
      <c r="I82" s="3" t="str">
        <f>+C82</f>
        <v>Seguro de bienes muebles</v>
      </c>
      <c r="J82" s="7">
        <f>+D82</f>
        <v>0</v>
      </c>
      <c r="M82" s="7">
        <f t="shared" si="10"/>
        <v>0</v>
      </c>
      <c r="N82" s="8">
        <f t="shared" ref="N82:N145" si="18">+J82+K82-L82-M82</f>
        <v>0</v>
      </c>
      <c r="O82" s="7">
        <f t="shared" si="9"/>
        <v>0</v>
      </c>
      <c r="P82" s="7">
        <f t="shared" si="4"/>
        <v>0</v>
      </c>
      <c r="S82" s="7">
        <f t="shared" si="16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111</v>
      </c>
      <c r="B83" s="54" t="s">
        <v>133</v>
      </c>
      <c r="C83" s="3" t="s">
        <v>134</v>
      </c>
      <c r="D83" s="16"/>
      <c r="E83" s="8"/>
      <c r="F83" s="8"/>
      <c r="H83" s="3" t="s">
        <v>51</v>
      </c>
      <c r="I83" s="3" t="str">
        <f>+C83</f>
        <v>Seguro de personas</v>
      </c>
      <c r="J83" s="7">
        <f>+D83</f>
        <v>0</v>
      </c>
      <c r="M83" s="7">
        <f t="shared" si="10"/>
        <v>0</v>
      </c>
      <c r="N83" s="8">
        <f t="shared" si="18"/>
        <v>0</v>
      </c>
      <c r="O83" s="7">
        <f t="shared" si="9"/>
        <v>0</v>
      </c>
      <c r="P83" s="7">
        <f t="shared" si="4"/>
        <v>0</v>
      </c>
      <c r="S83" s="7">
        <f t="shared" ref="S83:S126" si="19">SUM(N83:R83)</f>
        <v>0</v>
      </c>
      <c r="U83" s="7"/>
      <c r="V83" s="7"/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135</v>
      </c>
      <c r="D84" s="41"/>
      <c r="E84" s="30"/>
      <c r="F84" s="8"/>
      <c r="J84" s="17"/>
      <c r="M84" s="7">
        <f t="shared" si="10"/>
        <v>0</v>
      </c>
      <c r="N84" s="8">
        <f t="shared" si="18"/>
        <v>0</v>
      </c>
      <c r="O84" s="17">
        <f t="shared" si="9"/>
        <v>0</v>
      </c>
      <c r="P84" s="7">
        <f t="shared" si="4"/>
        <v>0</v>
      </c>
      <c r="Q84" s="3"/>
      <c r="S84" s="17">
        <f t="shared" si="19"/>
        <v>0</v>
      </c>
      <c r="Y84" s="17">
        <f t="shared" si="14"/>
        <v>0</v>
      </c>
    </row>
    <row r="85" spans="1:25" x14ac:dyDescent="0.25">
      <c r="A85" s="1" t="s">
        <v>111</v>
      </c>
      <c r="C85" s="51" t="s">
        <v>136</v>
      </c>
      <c r="D85" s="16">
        <v>8118143.3100000015</v>
      </c>
      <c r="E85" s="8"/>
      <c r="F85" s="8"/>
      <c r="H85" s="3" t="s">
        <v>51</v>
      </c>
      <c r="I85" s="3" t="str">
        <f t="shared" ref="I85:J90" si="20">+C85</f>
        <v>Servicios especiales de mantenimiento y reparación</v>
      </c>
      <c r="J85" s="7">
        <f t="shared" si="20"/>
        <v>8118143.3100000015</v>
      </c>
      <c r="M85" s="7">
        <f t="shared" si="10"/>
        <v>0</v>
      </c>
      <c r="N85" s="8">
        <f t="shared" si="18"/>
        <v>8118143.3100000015</v>
      </c>
      <c r="O85" s="7">
        <f t="shared" si="9"/>
        <v>-8118143.3100000015</v>
      </c>
      <c r="P85" s="7">
        <f t="shared" si="4"/>
        <v>-8118143.3100000015</v>
      </c>
      <c r="S85" s="7">
        <f t="shared" si="19"/>
        <v>-8118143.3100000015</v>
      </c>
      <c r="W85" s="7">
        <f>N85</f>
        <v>8118143.3100000015</v>
      </c>
      <c r="Y85" s="7">
        <f t="shared" si="14"/>
        <v>16236286.620000003</v>
      </c>
    </row>
    <row r="86" spans="1:25" x14ac:dyDescent="0.25">
      <c r="A86" s="1" t="s">
        <v>111</v>
      </c>
      <c r="B86" s="52" t="s">
        <v>137</v>
      </c>
      <c r="C86" s="3" t="s">
        <v>138</v>
      </c>
      <c r="D86" s="16"/>
      <c r="E86" s="8"/>
      <c r="F86" s="8"/>
      <c r="I86" s="3" t="str">
        <f t="shared" si="20"/>
        <v>Servicios de pintura y derivados con fin de higiene y embellecimiento</v>
      </c>
      <c r="J86" s="7">
        <f t="shared" si="20"/>
        <v>0</v>
      </c>
      <c r="M86" s="7">
        <f t="shared" si="10"/>
        <v>0</v>
      </c>
      <c r="N86" s="8">
        <f t="shared" si="18"/>
        <v>0</v>
      </c>
      <c r="O86" s="7">
        <f t="shared" si="9"/>
        <v>0</v>
      </c>
      <c r="P86" s="7">
        <f t="shared" si="4"/>
        <v>0</v>
      </c>
      <c r="S86" s="7">
        <f t="shared" si="19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111</v>
      </c>
      <c r="B87" s="55"/>
      <c r="C87" s="3" t="s">
        <v>139</v>
      </c>
      <c r="D87" s="16"/>
      <c r="E87" s="8"/>
      <c r="F87" s="8"/>
      <c r="H87" s="3" t="s">
        <v>51</v>
      </c>
      <c r="I87" s="3" t="str">
        <f t="shared" si="20"/>
        <v>Reparaciones de obras menores</v>
      </c>
      <c r="J87" s="7">
        <f t="shared" si="20"/>
        <v>0</v>
      </c>
      <c r="M87" s="7">
        <f t="shared" si="10"/>
        <v>0</v>
      </c>
      <c r="N87" s="8">
        <f t="shared" si="18"/>
        <v>0</v>
      </c>
      <c r="O87" s="7">
        <f>-N87</f>
        <v>0</v>
      </c>
      <c r="P87" s="7">
        <f t="shared" si="4"/>
        <v>0</v>
      </c>
      <c r="S87" s="7">
        <f>SUM(N87:R87)</f>
        <v>0</v>
      </c>
      <c r="W87" s="7">
        <f>+O87</f>
        <v>0</v>
      </c>
      <c r="Y87" s="7">
        <f t="shared" si="14"/>
        <v>0</v>
      </c>
    </row>
    <row r="88" spans="1:25" x14ac:dyDescent="0.25">
      <c r="A88" s="1" t="s">
        <v>111</v>
      </c>
      <c r="C88" s="51" t="s">
        <v>140</v>
      </c>
      <c r="D88" s="16"/>
      <c r="E88" s="8"/>
      <c r="F88" s="8"/>
      <c r="H88" s="3" t="s">
        <v>51</v>
      </c>
      <c r="I88" s="3" t="str">
        <f t="shared" si="20"/>
        <v>Mant. y rep. De equipo de oficina y muebles</v>
      </c>
      <c r="J88" s="7">
        <f t="shared" si="20"/>
        <v>0</v>
      </c>
      <c r="M88" s="7">
        <f t="shared" si="10"/>
        <v>0</v>
      </c>
      <c r="N88" s="8">
        <f t="shared" si="18"/>
        <v>0</v>
      </c>
      <c r="O88" s="7">
        <f t="shared" si="9"/>
        <v>0</v>
      </c>
      <c r="P88" s="7">
        <f t="shared" si="4"/>
        <v>0</v>
      </c>
      <c r="S88" s="7">
        <f t="shared" si="19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111</v>
      </c>
      <c r="B89" s="54" t="s">
        <v>141</v>
      </c>
      <c r="C89" s="3" t="s">
        <v>142</v>
      </c>
      <c r="D89" s="16"/>
      <c r="E89" s="8"/>
      <c r="F89" s="8"/>
      <c r="H89" s="3" t="s">
        <v>51</v>
      </c>
      <c r="I89" s="3" t="str">
        <f t="shared" si="20"/>
        <v>Mant. y rep. De equipo de comunicación</v>
      </c>
      <c r="J89" s="7">
        <f t="shared" si="20"/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ref="P89:P114" si="21">-N89</f>
        <v>0</v>
      </c>
      <c r="S89" s="7">
        <f t="shared" si="19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111</v>
      </c>
      <c r="C90" s="51" t="s">
        <v>143</v>
      </c>
      <c r="D90" s="16"/>
      <c r="E90" s="8"/>
      <c r="F90" s="8"/>
      <c r="H90" s="3" t="s">
        <v>51</v>
      </c>
      <c r="I90" s="3" t="str">
        <f t="shared" si="20"/>
        <v>Mant. y rep. De equipo de transporte, tracción y elevación</v>
      </c>
      <c r="J90" s="7">
        <f t="shared" si="20"/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21"/>
        <v>0</v>
      </c>
      <c r="S90" s="7">
        <f t="shared" si="19"/>
        <v>0</v>
      </c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144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21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111</v>
      </c>
      <c r="C92" s="51" t="s">
        <v>145</v>
      </c>
      <c r="D92" s="16"/>
      <c r="E92" s="8"/>
      <c r="F92" s="8"/>
      <c r="H92" s="3" t="s">
        <v>51</v>
      </c>
      <c r="I92" s="3" t="str">
        <f t="shared" ref="I92:J102" si="22">+C92</f>
        <v>Comisiones y gastos bancarios</v>
      </c>
      <c r="J92" s="7">
        <f t="shared" si="22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21"/>
        <v>0</v>
      </c>
      <c r="S92" s="7">
        <f t="shared" si="19"/>
        <v>0</v>
      </c>
      <c r="W92" s="7">
        <f t="shared" ref="W92:W104" si="23">+O92</f>
        <v>0</v>
      </c>
      <c r="Y92" s="7">
        <f t="shared" si="14"/>
        <v>0</v>
      </c>
    </row>
    <row r="93" spans="1:25" x14ac:dyDescent="0.25">
      <c r="A93" s="1" t="s">
        <v>111</v>
      </c>
      <c r="B93" s="54" t="s">
        <v>146</v>
      </c>
      <c r="C93" s="3" t="s">
        <v>147</v>
      </c>
      <c r="D93" s="16"/>
      <c r="E93" s="8"/>
      <c r="F93" s="8"/>
      <c r="H93" s="3" t="s">
        <v>51</v>
      </c>
      <c r="I93" s="3" t="str">
        <f t="shared" si="22"/>
        <v xml:space="preserve">Servicios sanitarios médicos y veterinarios </v>
      </c>
      <c r="J93" s="7">
        <f t="shared" si="22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21"/>
        <v>0</v>
      </c>
      <c r="S93" s="7">
        <f t="shared" si="19"/>
        <v>0</v>
      </c>
      <c r="W93" s="7">
        <f t="shared" si="23"/>
        <v>0</v>
      </c>
      <c r="Y93" s="7">
        <f t="shared" si="14"/>
        <v>0</v>
      </c>
    </row>
    <row r="94" spans="1:25" x14ac:dyDescent="0.25">
      <c r="A94" s="1" t="s">
        <v>111</v>
      </c>
      <c r="C94" s="51" t="s">
        <v>148</v>
      </c>
      <c r="D94" s="16"/>
      <c r="E94" s="8"/>
      <c r="F94" s="8"/>
      <c r="I94" s="3" t="str">
        <f t="shared" si="22"/>
        <v>Fumigación</v>
      </c>
      <c r="J94" s="7">
        <f t="shared" si="22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21"/>
        <v>0</v>
      </c>
      <c r="S94" s="7">
        <f t="shared" si="19"/>
        <v>0</v>
      </c>
      <c r="W94" s="7">
        <f t="shared" si="23"/>
        <v>0</v>
      </c>
      <c r="Y94" s="7">
        <f t="shared" si="14"/>
        <v>0</v>
      </c>
    </row>
    <row r="95" spans="1:25" x14ac:dyDescent="0.25">
      <c r="A95" s="1" t="s">
        <v>111</v>
      </c>
      <c r="B95" s="2" t="s">
        <v>149</v>
      </c>
      <c r="C95" s="51" t="s">
        <v>150</v>
      </c>
      <c r="D95" s="16"/>
      <c r="E95" s="8"/>
      <c r="F95" s="8"/>
      <c r="H95" s="3" t="s">
        <v>51</v>
      </c>
      <c r="I95" s="3" t="str">
        <f t="shared" si="22"/>
        <v>Lavandería</v>
      </c>
      <c r="J95" s="7">
        <f t="shared" si="22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21"/>
        <v>0</v>
      </c>
      <c r="S95" s="7">
        <f t="shared" si="19"/>
        <v>0</v>
      </c>
      <c r="W95" s="7">
        <f t="shared" si="23"/>
        <v>0</v>
      </c>
      <c r="Y95" s="7">
        <f t="shared" si="14"/>
        <v>0</v>
      </c>
    </row>
    <row r="96" spans="1:25" x14ac:dyDescent="0.25">
      <c r="A96" s="1" t="s">
        <v>111</v>
      </c>
      <c r="B96" s="2" t="s">
        <v>149</v>
      </c>
      <c r="C96" s="51" t="s">
        <v>151</v>
      </c>
      <c r="D96" s="16"/>
      <c r="E96" s="8"/>
      <c r="F96" s="8"/>
      <c r="H96" s="3" t="s">
        <v>51</v>
      </c>
      <c r="I96" s="3" t="str">
        <f t="shared" si="22"/>
        <v>Limpieza e higiene</v>
      </c>
      <c r="J96" s="7">
        <f t="shared" si="22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 t="shared" si="23"/>
        <v>0</v>
      </c>
      <c r="Y96" s="7">
        <f t="shared" si="14"/>
        <v>0</v>
      </c>
    </row>
    <row r="97" spans="1:28" x14ac:dyDescent="0.25">
      <c r="A97" s="1" t="s">
        <v>111</v>
      </c>
      <c r="C97" s="51" t="s">
        <v>152</v>
      </c>
      <c r="D97" s="16"/>
      <c r="E97" s="8"/>
      <c r="F97" s="8"/>
      <c r="H97" s="3" t="s">
        <v>51</v>
      </c>
      <c r="I97" s="3" t="str">
        <f t="shared" si="22"/>
        <v>Eventos generales</v>
      </c>
      <c r="J97" s="7">
        <f t="shared" si="22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 t="shared" si="23"/>
        <v>0</v>
      </c>
      <c r="Y97" s="7">
        <f t="shared" si="14"/>
        <v>0</v>
      </c>
    </row>
    <row r="98" spans="1:28" x14ac:dyDescent="0.25">
      <c r="A98" s="1" t="s">
        <v>111</v>
      </c>
      <c r="C98" s="51" t="s">
        <v>153</v>
      </c>
      <c r="D98" s="16"/>
      <c r="E98" s="8"/>
      <c r="F98" s="8"/>
      <c r="H98" s="3" t="s">
        <v>51</v>
      </c>
      <c r="I98" s="3" t="str">
        <f t="shared" si="22"/>
        <v>Festividades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si="23"/>
        <v>0</v>
      </c>
      <c r="Y98" s="7">
        <f t="shared" si="14"/>
        <v>0</v>
      </c>
    </row>
    <row r="99" spans="1:28" x14ac:dyDescent="0.25">
      <c r="A99" s="1" t="s">
        <v>111</v>
      </c>
      <c r="C99" s="51" t="s">
        <v>154</v>
      </c>
      <c r="D99" s="16"/>
      <c r="E99" s="8"/>
      <c r="F99" s="8"/>
      <c r="H99" s="3" t="s">
        <v>51</v>
      </c>
      <c r="I99" s="3" t="str">
        <f t="shared" si="22"/>
        <v>Servicios jurídicos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111</v>
      </c>
      <c r="B100" s="54" t="s">
        <v>155</v>
      </c>
      <c r="C100" s="51" t="s">
        <v>156</v>
      </c>
      <c r="D100" s="16"/>
      <c r="E100" s="8"/>
      <c r="F100" s="8"/>
      <c r="H100" s="3" t="s">
        <v>51</v>
      </c>
      <c r="I100" s="3" t="str">
        <f t="shared" si="22"/>
        <v>Servicios de capacitación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111</v>
      </c>
      <c r="C101" s="51" t="s">
        <v>157</v>
      </c>
      <c r="D101" s="16"/>
      <c r="E101" s="8"/>
      <c r="F101" s="8"/>
      <c r="H101" s="3" t="s">
        <v>51</v>
      </c>
      <c r="I101" s="3" t="str">
        <f t="shared" si="22"/>
        <v>Otros servicios técnicos profesionales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111</v>
      </c>
      <c r="C102" s="51" t="s">
        <v>158</v>
      </c>
      <c r="D102" s="16"/>
      <c r="E102" s="8"/>
      <c r="F102" s="8"/>
      <c r="I102" s="3" t="str">
        <f t="shared" si="22"/>
        <v>Impuestos 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s="40" customFormat="1" x14ac:dyDescent="0.25">
      <c r="A103" s="39"/>
      <c r="B103" s="2"/>
      <c r="C103" s="50" t="s">
        <v>159</v>
      </c>
      <c r="D103" s="41"/>
      <c r="E103" s="30"/>
      <c r="F103" s="8"/>
      <c r="J103" s="17"/>
      <c r="M103" s="7">
        <f t="shared" si="10"/>
        <v>0</v>
      </c>
      <c r="N103" s="8">
        <f t="shared" si="18"/>
        <v>0</v>
      </c>
      <c r="O103" s="17">
        <f t="shared" si="9"/>
        <v>0</v>
      </c>
      <c r="P103" s="7">
        <f t="shared" si="21"/>
        <v>0</v>
      </c>
      <c r="Q103" s="3"/>
      <c r="S103" s="17">
        <f t="shared" si="19"/>
        <v>0</v>
      </c>
      <c r="W103" s="7">
        <f t="shared" si="23"/>
        <v>0</v>
      </c>
      <c r="Y103" s="17">
        <f t="shared" si="14"/>
        <v>0</v>
      </c>
      <c r="AA103" s="22" t="b">
        <f t="shared" ref="AA103:AA152" si="24">+AB103=C103</f>
        <v>1</v>
      </c>
      <c r="AB103" s="56" t="s">
        <v>159</v>
      </c>
    </row>
    <row r="104" spans="1:28" s="40" customFormat="1" x14ac:dyDescent="0.25">
      <c r="A104" s="39"/>
      <c r="B104" s="2"/>
      <c r="C104" s="50" t="s">
        <v>160</v>
      </c>
      <c r="D104" s="41"/>
      <c r="E104" s="30"/>
      <c r="F104" s="8"/>
      <c r="J104" s="17"/>
      <c r="M104" s="7">
        <f t="shared" si="10"/>
        <v>0</v>
      </c>
      <c r="N104" s="8">
        <f t="shared" si="18"/>
        <v>0</v>
      </c>
      <c r="O104" s="17">
        <f t="shared" si="9"/>
        <v>0</v>
      </c>
      <c r="P104" s="7">
        <f t="shared" si="21"/>
        <v>0</v>
      </c>
      <c r="Q104" s="3"/>
      <c r="S104" s="17">
        <f t="shared" si="19"/>
        <v>0</v>
      </c>
      <c r="W104" s="7">
        <f t="shared" si="23"/>
        <v>0</v>
      </c>
      <c r="Y104" s="17">
        <f t="shared" si="14"/>
        <v>0</v>
      </c>
      <c r="AA104" s="22" t="b">
        <f t="shared" si="24"/>
        <v>1</v>
      </c>
      <c r="AB104" s="56" t="s">
        <v>160</v>
      </c>
    </row>
    <row r="105" spans="1:28" x14ac:dyDescent="0.25">
      <c r="A105" s="1" t="s">
        <v>85</v>
      </c>
      <c r="B105" s="40" t="s">
        <v>161</v>
      </c>
      <c r="C105" s="57" t="s">
        <v>162</v>
      </c>
      <c r="D105" s="16">
        <v>5152815.6800000016</v>
      </c>
      <c r="E105" s="8"/>
      <c r="F105" s="8"/>
      <c r="H105" s="3" t="s">
        <v>51</v>
      </c>
      <c r="I105" s="3" t="str">
        <f>+C105</f>
        <v>Alimentos y bebidas para personas</v>
      </c>
      <c r="J105" s="7">
        <f>+D105</f>
        <v>5152815.6800000016</v>
      </c>
      <c r="M105" s="7">
        <f t="shared" si="10"/>
        <v>0</v>
      </c>
      <c r="N105" s="8">
        <f t="shared" si="18"/>
        <v>5152815.6800000016</v>
      </c>
      <c r="O105" s="7">
        <f t="shared" si="9"/>
        <v>-5152815.6800000016</v>
      </c>
      <c r="P105" s="7">
        <f t="shared" si="21"/>
        <v>-5152815.6800000016</v>
      </c>
      <c r="S105" s="7">
        <f t="shared" si="19"/>
        <v>-5152815.6800000016</v>
      </c>
      <c r="U105" s="7"/>
      <c r="V105" s="7"/>
      <c r="W105" s="7">
        <f>N105</f>
        <v>5152815.6800000016</v>
      </c>
      <c r="Y105" s="7">
        <f t="shared" si="14"/>
        <v>10305631.360000003</v>
      </c>
      <c r="AA105" s="22" t="b">
        <f t="shared" si="24"/>
        <v>1</v>
      </c>
      <c r="AB105" s="57" t="s">
        <v>162</v>
      </c>
    </row>
    <row r="106" spans="1:28" x14ac:dyDescent="0.25">
      <c r="A106" s="1" t="s">
        <v>163</v>
      </c>
      <c r="B106" s="40" t="s">
        <v>164</v>
      </c>
      <c r="C106" s="57" t="s">
        <v>165</v>
      </c>
      <c r="D106" s="16"/>
      <c r="E106" s="8"/>
      <c r="F106" s="8"/>
      <c r="H106" s="3" t="s">
        <v>51</v>
      </c>
      <c r="I106" s="3" t="str">
        <f>+C106</f>
        <v>Productos forestales</v>
      </c>
      <c r="J106" s="7">
        <f>+D106</f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U106" s="7"/>
      <c r="V106" s="7"/>
      <c r="W106" s="7">
        <f t="shared" ref="W106:W166" si="25">N106</f>
        <v>0</v>
      </c>
      <c r="Y106" s="7">
        <f t="shared" si="14"/>
        <v>0</v>
      </c>
      <c r="AA106" s="22" t="b">
        <f t="shared" si="24"/>
        <v>1</v>
      </c>
      <c r="AB106" s="57" t="s">
        <v>165</v>
      </c>
    </row>
    <row r="107" spans="1:28" s="40" customFormat="1" x14ac:dyDescent="0.25">
      <c r="A107" s="39"/>
      <c r="C107" s="50" t="s">
        <v>166</v>
      </c>
      <c r="D107" s="41"/>
      <c r="E107" s="30"/>
      <c r="F107" s="8"/>
      <c r="J107" s="17"/>
      <c r="M107" s="7">
        <f t="shared" si="10"/>
        <v>0</v>
      </c>
      <c r="N107" s="8">
        <f t="shared" si="18"/>
        <v>0</v>
      </c>
      <c r="O107" s="17">
        <f t="shared" si="9"/>
        <v>0</v>
      </c>
      <c r="P107" s="7">
        <f t="shared" si="21"/>
        <v>0</v>
      </c>
      <c r="Q107" s="3"/>
      <c r="S107" s="17">
        <f t="shared" si="19"/>
        <v>0</v>
      </c>
      <c r="W107" s="7">
        <f t="shared" si="25"/>
        <v>0</v>
      </c>
      <c r="Y107" s="17">
        <f t="shared" si="14"/>
        <v>0</v>
      </c>
      <c r="AA107" s="22" t="b">
        <f t="shared" si="24"/>
        <v>1</v>
      </c>
      <c r="AB107" s="56" t="s">
        <v>166</v>
      </c>
    </row>
    <row r="108" spans="1:28" x14ac:dyDescent="0.25">
      <c r="A108" s="1" t="s">
        <v>163</v>
      </c>
      <c r="B108" s="40" t="s">
        <v>167</v>
      </c>
      <c r="C108" s="57" t="s">
        <v>168</v>
      </c>
      <c r="D108" s="58"/>
      <c r="E108" s="8"/>
      <c r="F108" s="8"/>
      <c r="H108" s="3" t="s">
        <v>51</v>
      </c>
      <c r="I108" s="3" t="str">
        <f t="shared" ref="I108:J110" si="26">+C108</f>
        <v>Hilados y telas</v>
      </c>
      <c r="J108" s="7">
        <f t="shared" si="26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5"/>
        <v>0</v>
      </c>
      <c r="Y108" s="7">
        <f t="shared" si="14"/>
        <v>0</v>
      </c>
      <c r="AA108" s="22" t="b">
        <f t="shared" si="24"/>
        <v>1</v>
      </c>
      <c r="AB108" s="57" t="s">
        <v>168</v>
      </c>
    </row>
    <row r="109" spans="1:28" x14ac:dyDescent="0.25">
      <c r="A109" s="1" t="s">
        <v>163</v>
      </c>
      <c r="B109" s="40" t="s">
        <v>169</v>
      </c>
      <c r="C109" s="57" t="s">
        <v>170</v>
      </c>
      <c r="D109" s="16"/>
      <c r="E109" s="8"/>
      <c r="F109" s="8"/>
      <c r="H109" s="3" t="s">
        <v>51</v>
      </c>
      <c r="I109" s="3" t="str">
        <f t="shared" si="26"/>
        <v>Acabados textiles</v>
      </c>
      <c r="J109" s="7">
        <f t="shared" si="26"/>
        <v>0</v>
      </c>
      <c r="M109" s="7">
        <f t="shared" si="10"/>
        <v>0</v>
      </c>
      <c r="N109" s="8">
        <f t="shared" si="18"/>
        <v>0</v>
      </c>
      <c r="O109" s="7">
        <f t="shared" ref="O109:O164" si="27">-N109</f>
        <v>0</v>
      </c>
      <c r="P109" s="7">
        <f t="shared" si="21"/>
        <v>0</v>
      </c>
      <c r="S109" s="7">
        <f t="shared" si="19"/>
        <v>0</v>
      </c>
      <c r="W109" s="7">
        <f t="shared" si="25"/>
        <v>0</v>
      </c>
      <c r="Y109" s="7">
        <f t="shared" si="14"/>
        <v>0</v>
      </c>
      <c r="AA109" s="22" t="b">
        <f t="shared" si="24"/>
        <v>1</v>
      </c>
      <c r="AB109" s="57" t="s">
        <v>170</v>
      </c>
    </row>
    <row r="110" spans="1:28" x14ac:dyDescent="0.25">
      <c r="A110" s="1" t="s">
        <v>85</v>
      </c>
      <c r="B110" s="40" t="s">
        <v>171</v>
      </c>
      <c r="C110" s="57" t="s">
        <v>172</v>
      </c>
      <c r="D110" s="16"/>
      <c r="E110" s="8"/>
      <c r="F110" s="8"/>
      <c r="H110" s="3" t="s">
        <v>51</v>
      </c>
      <c r="I110" s="3" t="str">
        <f t="shared" si="26"/>
        <v>Prendas de vestir</v>
      </c>
      <c r="J110" s="7">
        <f t="shared" si="26"/>
        <v>0</v>
      </c>
      <c r="M110" s="7">
        <f t="shared" ref="M110:M162" si="28">F110</f>
        <v>0</v>
      </c>
      <c r="N110" s="8">
        <f t="shared" si="18"/>
        <v>0</v>
      </c>
      <c r="O110" s="7">
        <f t="shared" si="27"/>
        <v>0</v>
      </c>
      <c r="P110" s="7">
        <f t="shared" si="21"/>
        <v>0</v>
      </c>
      <c r="S110" s="7">
        <f t="shared" si="19"/>
        <v>0</v>
      </c>
      <c r="U110" s="7">
        <f>+O110</f>
        <v>0</v>
      </c>
      <c r="V110" s="7"/>
      <c r="W110" s="7">
        <f t="shared" si="25"/>
        <v>0</v>
      </c>
      <c r="Y110" s="7">
        <f t="shared" si="14"/>
        <v>0</v>
      </c>
      <c r="AA110" s="22" t="b">
        <f t="shared" si="24"/>
        <v>1</v>
      </c>
      <c r="AB110" s="57" t="s">
        <v>172</v>
      </c>
    </row>
    <row r="111" spans="1:28" s="40" customFormat="1" x14ac:dyDescent="0.25">
      <c r="A111" s="39"/>
      <c r="C111" s="50" t="s">
        <v>173</v>
      </c>
      <c r="D111" s="41"/>
      <c r="E111" s="30"/>
      <c r="F111" s="8"/>
      <c r="J111" s="17"/>
      <c r="M111" s="7">
        <f t="shared" si="28"/>
        <v>0</v>
      </c>
      <c r="N111" s="8">
        <f t="shared" si="18"/>
        <v>0</v>
      </c>
      <c r="O111" s="17">
        <f t="shared" si="27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5"/>
        <v>0</v>
      </c>
      <c r="Y111" s="17">
        <f t="shared" si="14"/>
        <v>0</v>
      </c>
      <c r="AA111" s="22" t="b">
        <f t="shared" si="24"/>
        <v>1</v>
      </c>
      <c r="AB111" s="56" t="s">
        <v>173</v>
      </c>
    </row>
    <row r="112" spans="1:28" x14ac:dyDescent="0.25">
      <c r="A112" s="1" t="s">
        <v>163</v>
      </c>
      <c r="B112" s="40" t="s">
        <v>174</v>
      </c>
      <c r="C112" s="57" t="s">
        <v>175</v>
      </c>
      <c r="D112" s="16"/>
      <c r="E112" s="8"/>
      <c r="F112" s="8"/>
      <c r="H112" s="3" t="s">
        <v>51</v>
      </c>
      <c r="I112" s="3" t="str">
        <f t="shared" ref="I112:J115" si="29">+C112</f>
        <v>Papel de escritorio</v>
      </c>
      <c r="J112" s="7">
        <f t="shared" si="29"/>
        <v>0</v>
      </c>
      <c r="M112" s="7">
        <f t="shared" si="28"/>
        <v>0</v>
      </c>
      <c r="N112" s="8">
        <f t="shared" si="18"/>
        <v>0</v>
      </c>
      <c r="O112" s="7">
        <f t="shared" si="27"/>
        <v>0</v>
      </c>
      <c r="P112" s="7">
        <f t="shared" si="21"/>
        <v>0</v>
      </c>
      <c r="S112" s="7">
        <f t="shared" si="19"/>
        <v>0</v>
      </c>
      <c r="W112" s="7">
        <f t="shared" si="25"/>
        <v>0</v>
      </c>
      <c r="Y112" s="7">
        <f t="shared" si="14"/>
        <v>0</v>
      </c>
      <c r="AA112" s="22" t="b">
        <f t="shared" si="24"/>
        <v>1</v>
      </c>
      <c r="AB112" s="57" t="s">
        <v>175</v>
      </c>
    </row>
    <row r="113" spans="1:28" x14ac:dyDescent="0.25">
      <c r="A113" s="1" t="s">
        <v>163</v>
      </c>
      <c r="B113" s="40" t="s">
        <v>176</v>
      </c>
      <c r="C113" s="57" t="s">
        <v>177</v>
      </c>
      <c r="D113" s="16"/>
      <c r="E113" s="8"/>
      <c r="F113" s="8"/>
      <c r="H113" s="3" t="s">
        <v>51</v>
      </c>
      <c r="I113" s="3" t="str">
        <f t="shared" si="29"/>
        <v>Productos de papel y cartón</v>
      </c>
      <c r="J113" s="7">
        <f t="shared" si="29"/>
        <v>0</v>
      </c>
      <c r="M113" s="7">
        <f t="shared" si="28"/>
        <v>0</v>
      </c>
      <c r="N113" s="8">
        <f t="shared" si="18"/>
        <v>0</v>
      </c>
      <c r="O113" s="7">
        <f t="shared" si="27"/>
        <v>0</v>
      </c>
      <c r="P113" s="7">
        <f t="shared" si="21"/>
        <v>0</v>
      </c>
      <c r="S113" s="7">
        <f t="shared" si="19"/>
        <v>0</v>
      </c>
      <c r="W113" s="7">
        <f t="shared" si="25"/>
        <v>0</v>
      </c>
      <c r="Y113" s="7">
        <f t="shared" si="14"/>
        <v>0</v>
      </c>
      <c r="AA113" s="22" t="b">
        <f t="shared" si="24"/>
        <v>1</v>
      </c>
      <c r="AB113" s="57" t="s">
        <v>177</v>
      </c>
    </row>
    <row r="114" spans="1:28" x14ac:dyDescent="0.25">
      <c r="A114" s="1" t="s">
        <v>163</v>
      </c>
      <c r="B114" s="40" t="s">
        <v>178</v>
      </c>
      <c r="C114" s="57" t="s">
        <v>179</v>
      </c>
      <c r="D114" s="16"/>
      <c r="E114" s="8"/>
      <c r="F114" s="8"/>
      <c r="H114" s="3" t="s">
        <v>51</v>
      </c>
      <c r="I114" s="3" t="str">
        <f t="shared" si="29"/>
        <v>Productos de artes gráficas</v>
      </c>
      <c r="J114" s="7">
        <f t="shared" si="29"/>
        <v>0</v>
      </c>
      <c r="M114" s="7">
        <f t="shared" si="28"/>
        <v>0</v>
      </c>
      <c r="N114" s="8">
        <f t="shared" si="18"/>
        <v>0</v>
      </c>
      <c r="O114" s="7">
        <f t="shared" si="27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179</v>
      </c>
    </row>
    <row r="115" spans="1:28" x14ac:dyDescent="0.25">
      <c r="A115" s="1" t="s">
        <v>85</v>
      </c>
      <c r="B115" s="40" t="s">
        <v>180</v>
      </c>
      <c r="C115" s="57" t="s">
        <v>181</v>
      </c>
      <c r="D115" s="16"/>
      <c r="E115" s="8"/>
      <c r="F115" s="8"/>
      <c r="H115" s="3" t="s">
        <v>51</v>
      </c>
      <c r="I115" s="3" t="str">
        <f t="shared" si="29"/>
        <v>Productos medicinales para uso humano</v>
      </c>
      <c r="J115" s="7">
        <f t="shared" si="29"/>
        <v>0</v>
      </c>
      <c r="M115" s="7">
        <f t="shared" si="28"/>
        <v>0</v>
      </c>
      <c r="N115" s="8">
        <f t="shared" si="18"/>
        <v>0</v>
      </c>
      <c r="O115" s="7">
        <f t="shared" si="27"/>
        <v>0</v>
      </c>
      <c r="P115" s="7"/>
      <c r="Q115" s="7"/>
      <c r="S115" s="7">
        <f t="shared" si="19"/>
        <v>0</v>
      </c>
      <c r="U115" s="7">
        <f>+O115</f>
        <v>0</v>
      </c>
      <c r="V115" s="7"/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181</v>
      </c>
    </row>
    <row r="116" spans="1:28" s="40" customFormat="1" x14ac:dyDescent="0.25">
      <c r="A116" s="39"/>
      <c r="C116" s="50" t="s">
        <v>182</v>
      </c>
      <c r="D116" s="41"/>
      <c r="E116" s="30"/>
      <c r="F116" s="8"/>
      <c r="J116" s="17"/>
      <c r="M116" s="7">
        <f t="shared" si="28"/>
        <v>0</v>
      </c>
      <c r="N116" s="8">
        <f t="shared" si="18"/>
        <v>0</v>
      </c>
      <c r="O116" s="17">
        <f t="shared" si="27"/>
        <v>0</v>
      </c>
      <c r="P116" s="17"/>
      <c r="Q116" s="17"/>
      <c r="S116" s="17">
        <f t="shared" si="19"/>
        <v>0</v>
      </c>
      <c r="W116" s="7">
        <f t="shared" si="25"/>
        <v>0</v>
      </c>
      <c r="Y116" s="17">
        <f t="shared" si="14"/>
        <v>0</v>
      </c>
      <c r="AA116" s="22" t="b">
        <f t="shared" si="24"/>
        <v>1</v>
      </c>
      <c r="AB116" s="56" t="s">
        <v>182</v>
      </c>
    </row>
    <row r="117" spans="1:28" x14ac:dyDescent="0.25">
      <c r="A117" s="1" t="s">
        <v>163</v>
      </c>
      <c r="B117" s="40" t="s">
        <v>183</v>
      </c>
      <c r="C117" s="57" t="s">
        <v>184</v>
      </c>
      <c r="D117" s="16"/>
      <c r="E117" s="8"/>
      <c r="F117" s="8"/>
      <c r="H117" s="3" t="s">
        <v>51</v>
      </c>
      <c r="I117" s="3" t="str">
        <f t="shared" ref="I117:J121" si="30">+C117</f>
        <v>Artículos de cuero</v>
      </c>
      <c r="J117" s="7">
        <f t="shared" si="30"/>
        <v>0</v>
      </c>
      <c r="M117" s="7">
        <f t="shared" si="28"/>
        <v>0</v>
      </c>
      <c r="N117" s="8">
        <f t="shared" si="18"/>
        <v>0</v>
      </c>
      <c r="O117" s="7">
        <f t="shared" si="27"/>
        <v>0</v>
      </c>
      <c r="P117" s="7"/>
      <c r="Q117" s="7"/>
      <c r="S117" s="7">
        <f t="shared" si="19"/>
        <v>0</v>
      </c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184</v>
      </c>
    </row>
    <row r="118" spans="1:28" x14ac:dyDescent="0.25">
      <c r="A118" s="1" t="s">
        <v>163</v>
      </c>
      <c r="B118" s="40" t="e">
        <v>#N/A</v>
      </c>
      <c r="C118" s="57" t="s">
        <v>185</v>
      </c>
      <c r="D118" s="16"/>
      <c r="E118" s="8"/>
      <c r="F118" s="8"/>
      <c r="I118" s="3" t="str">
        <f t="shared" si="30"/>
        <v>Libros, revistas y periódicos</v>
      </c>
      <c r="J118" s="7">
        <f t="shared" si="30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/>
      <c r="Q118" s="7"/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185</v>
      </c>
    </row>
    <row r="119" spans="1:28" x14ac:dyDescent="0.25">
      <c r="A119" s="1" t="s">
        <v>163</v>
      </c>
      <c r="B119" s="40" t="s">
        <v>186</v>
      </c>
      <c r="C119" s="57" t="s">
        <v>187</v>
      </c>
      <c r="D119" s="16"/>
      <c r="E119" s="8"/>
      <c r="F119" s="8"/>
      <c r="H119" s="3" t="s">
        <v>51</v>
      </c>
      <c r="I119" s="3" t="str">
        <f t="shared" si="30"/>
        <v>Llantas y neumáticos</v>
      </c>
      <c r="J119" s="7">
        <f t="shared" si="30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/>
      <c r="Q119" s="7"/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187</v>
      </c>
    </row>
    <row r="120" spans="1:28" x14ac:dyDescent="0.25">
      <c r="A120" s="1" t="s">
        <v>163</v>
      </c>
      <c r="B120" s="40" t="s">
        <v>188</v>
      </c>
      <c r="C120" s="57" t="s">
        <v>189</v>
      </c>
      <c r="D120" s="16"/>
      <c r="E120" s="8"/>
      <c r="F120" s="8"/>
      <c r="H120" s="3" t="s">
        <v>51</v>
      </c>
      <c r="I120" s="3" t="str">
        <f t="shared" si="30"/>
        <v>Artículos de caucho</v>
      </c>
      <c r="J120" s="7">
        <f t="shared" si="30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/>
      <c r="Q120" s="7"/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189</v>
      </c>
    </row>
    <row r="121" spans="1:28" x14ac:dyDescent="0.25">
      <c r="A121" s="1" t="s">
        <v>163</v>
      </c>
      <c r="B121" s="40" t="s">
        <v>190</v>
      </c>
      <c r="C121" s="57" t="s">
        <v>191</v>
      </c>
      <c r="D121" s="16"/>
      <c r="E121" s="8"/>
      <c r="F121" s="8"/>
      <c r="H121" s="3" t="s">
        <v>51</v>
      </c>
      <c r="I121" s="3" t="str">
        <f t="shared" si="30"/>
        <v>Artículos de plástico</v>
      </c>
      <c r="J121" s="7">
        <f t="shared" si="30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191</v>
      </c>
    </row>
    <row r="122" spans="1:28" s="40" customFormat="1" x14ac:dyDescent="0.25">
      <c r="A122" s="39"/>
      <c r="C122" s="50" t="s">
        <v>192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192</v>
      </c>
    </row>
    <row r="123" spans="1:28" x14ac:dyDescent="0.25">
      <c r="A123" s="1" t="s">
        <v>163</v>
      </c>
      <c r="B123" s="40" t="s">
        <v>193</v>
      </c>
      <c r="C123" s="57" t="s">
        <v>194</v>
      </c>
      <c r="D123" s="16"/>
      <c r="E123" s="8"/>
      <c r="F123" s="8"/>
      <c r="H123" s="3" t="s">
        <v>51</v>
      </c>
      <c r="I123" s="3" t="str">
        <f t="shared" ref="I123:J131" si="31">+C123</f>
        <v>Productos de cemento</v>
      </c>
      <c r="J123" s="7">
        <f t="shared" si="31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194</v>
      </c>
    </row>
    <row r="124" spans="1:28" x14ac:dyDescent="0.25">
      <c r="A124" s="1" t="s">
        <v>163</v>
      </c>
      <c r="B124" s="40" t="s">
        <v>195</v>
      </c>
      <c r="C124" s="57" t="s">
        <v>196</v>
      </c>
      <c r="D124" s="16"/>
      <c r="E124" s="8"/>
      <c r="F124" s="8"/>
      <c r="H124" s="3" t="s">
        <v>51</v>
      </c>
      <c r="I124" s="3" t="str">
        <f t="shared" si="31"/>
        <v>Productos de yeso</v>
      </c>
      <c r="J124" s="7">
        <f t="shared" si="31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196</v>
      </c>
    </row>
    <row r="125" spans="1:28" x14ac:dyDescent="0.25">
      <c r="A125" s="1" t="s">
        <v>163</v>
      </c>
      <c r="B125" s="40" t="s">
        <v>197</v>
      </c>
      <c r="C125" s="57" t="s">
        <v>198</v>
      </c>
      <c r="D125" s="16"/>
      <c r="E125" s="8"/>
      <c r="F125" s="8"/>
      <c r="H125" s="3" t="s">
        <v>51</v>
      </c>
      <c r="I125" s="3" t="str">
        <f t="shared" si="31"/>
        <v>Productos de vidrio</v>
      </c>
      <c r="J125" s="7">
        <f t="shared" si="31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ref="Y125:Y152" si="32">SUM(T125:X125)-O125</f>
        <v>0</v>
      </c>
      <c r="AA125" s="22" t="b">
        <f t="shared" si="24"/>
        <v>1</v>
      </c>
      <c r="AB125" s="57" t="s">
        <v>198</v>
      </c>
    </row>
    <row r="126" spans="1:28" x14ac:dyDescent="0.25">
      <c r="A126" s="1" t="s">
        <v>163</v>
      </c>
      <c r="B126" s="40" t="s">
        <v>199</v>
      </c>
      <c r="C126" s="57" t="s">
        <v>200</v>
      </c>
      <c r="D126" s="16"/>
      <c r="E126" s="8"/>
      <c r="F126" s="8"/>
      <c r="H126" s="3" t="s">
        <v>51</v>
      </c>
      <c r="I126" s="3" t="str">
        <f t="shared" si="31"/>
        <v>Productos ferrosos</v>
      </c>
      <c r="J126" s="7">
        <f t="shared" si="31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32"/>
        <v>0</v>
      </c>
      <c r="AA126" s="22" t="b">
        <f t="shared" si="24"/>
        <v>1</v>
      </c>
      <c r="AB126" s="57" t="s">
        <v>200</v>
      </c>
    </row>
    <row r="127" spans="1:28" x14ac:dyDescent="0.25">
      <c r="A127" s="1" t="s">
        <v>163</v>
      </c>
      <c r="B127" s="40" t="s">
        <v>201</v>
      </c>
      <c r="C127" s="57" t="s">
        <v>202</v>
      </c>
      <c r="D127" s="16"/>
      <c r="E127" s="8"/>
      <c r="F127" s="8"/>
      <c r="H127" s="3" t="s">
        <v>51</v>
      </c>
      <c r="I127" s="3" t="str">
        <f t="shared" si="31"/>
        <v>Productos no ferrosos</v>
      </c>
      <c r="J127" s="7">
        <f t="shared" si="31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ref="S127:S159" si="33">SUM(N127:R127)</f>
        <v>0</v>
      </c>
      <c r="W127" s="7">
        <f t="shared" si="25"/>
        <v>0</v>
      </c>
      <c r="Y127" s="7">
        <f t="shared" si="32"/>
        <v>0</v>
      </c>
      <c r="AA127" s="22" t="b">
        <f t="shared" si="24"/>
        <v>1</v>
      </c>
      <c r="AB127" s="57" t="s">
        <v>202</v>
      </c>
    </row>
    <row r="128" spans="1:28" x14ac:dyDescent="0.25">
      <c r="A128" s="1" t="s">
        <v>163</v>
      </c>
      <c r="B128" s="40" t="e">
        <v>#N/A</v>
      </c>
      <c r="C128" s="57" t="s">
        <v>203</v>
      </c>
      <c r="D128" s="16"/>
      <c r="E128" s="8"/>
      <c r="F128" s="8"/>
      <c r="I128" s="3" t="str">
        <f t="shared" si="31"/>
        <v>Herramientas menores</v>
      </c>
      <c r="J128" s="7">
        <f t="shared" si="31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33"/>
        <v>0</v>
      </c>
      <c r="W128" s="7">
        <f t="shared" si="25"/>
        <v>0</v>
      </c>
      <c r="Y128" s="7">
        <f t="shared" si="32"/>
        <v>0</v>
      </c>
      <c r="AA128" s="22" t="b">
        <f t="shared" si="24"/>
        <v>1</v>
      </c>
      <c r="AB128" s="57" t="s">
        <v>203</v>
      </c>
    </row>
    <row r="129" spans="1:28" x14ac:dyDescent="0.25">
      <c r="A129" s="1" t="s">
        <v>163</v>
      </c>
      <c r="B129" s="40" t="e">
        <v>#N/A</v>
      </c>
      <c r="C129" s="57" t="s">
        <v>204</v>
      </c>
      <c r="D129" s="16"/>
      <c r="E129" s="8"/>
      <c r="F129" s="8"/>
      <c r="I129" s="3" t="str">
        <f t="shared" si="31"/>
        <v>Productos de hojalata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33"/>
        <v>0</v>
      </c>
      <c r="W129" s="7">
        <f t="shared" si="25"/>
        <v>0</v>
      </c>
      <c r="Y129" s="7">
        <f t="shared" si="32"/>
        <v>0</v>
      </c>
      <c r="AA129" s="22" t="b">
        <f t="shared" si="24"/>
        <v>1</v>
      </c>
      <c r="AB129" s="57" t="s">
        <v>204</v>
      </c>
    </row>
    <row r="130" spans="1:28" x14ac:dyDescent="0.25">
      <c r="A130" s="1" t="s">
        <v>163</v>
      </c>
      <c r="B130" s="40" t="s">
        <v>205</v>
      </c>
      <c r="C130" s="57" t="s">
        <v>206</v>
      </c>
      <c r="D130" s="16"/>
      <c r="E130" s="8"/>
      <c r="F130" s="8"/>
      <c r="H130" s="3" t="s">
        <v>51</v>
      </c>
      <c r="I130" s="3" t="str">
        <f t="shared" si="31"/>
        <v>Accesorios de metal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33"/>
        <v>0</v>
      </c>
      <c r="W130" s="7">
        <f t="shared" si="25"/>
        <v>0</v>
      </c>
      <c r="Y130" s="7">
        <f t="shared" si="32"/>
        <v>0</v>
      </c>
      <c r="AA130" s="22" t="b">
        <f t="shared" si="24"/>
        <v>1</v>
      </c>
      <c r="AB130" s="57" t="s">
        <v>206</v>
      </c>
    </row>
    <row r="131" spans="1:28" x14ac:dyDescent="0.25">
      <c r="A131" s="1" t="s">
        <v>163</v>
      </c>
      <c r="B131" s="40" t="e">
        <v>#N/A</v>
      </c>
      <c r="C131" s="57" t="s">
        <v>207</v>
      </c>
      <c r="D131" s="16"/>
      <c r="E131" s="8"/>
      <c r="F131" s="8"/>
      <c r="I131" s="3" t="str">
        <f t="shared" si="31"/>
        <v>Piedra, arcilla y arena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33"/>
        <v>0</v>
      </c>
      <c r="W131" s="7">
        <f t="shared" si="25"/>
        <v>0</v>
      </c>
      <c r="Y131" s="7">
        <f t="shared" si="32"/>
        <v>0</v>
      </c>
      <c r="AA131" s="22" t="b">
        <f t="shared" si="24"/>
        <v>1</v>
      </c>
      <c r="AB131" s="57" t="s">
        <v>207</v>
      </c>
    </row>
    <row r="132" spans="1:28" s="40" customFormat="1" x14ac:dyDescent="0.25">
      <c r="A132" s="39"/>
      <c r="C132" s="50" t="s">
        <v>208</v>
      </c>
      <c r="D132" s="41"/>
      <c r="E132" s="30"/>
      <c r="F132" s="8"/>
      <c r="J132" s="17"/>
      <c r="M132" s="7">
        <f t="shared" si="28"/>
        <v>0</v>
      </c>
      <c r="N132" s="8">
        <f t="shared" si="18"/>
        <v>0</v>
      </c>
      <c r="O132" s="17">
        <f t="shared" si="27"/>
        <v>0</v>
      </c>
      <c r="P132" s="17"/>
      <c r="Q132" s="17"/>
      <c r="S132" s="17">
        <f t="shared" si="33"/>
        <v>0</v>
      </c>
      <c r="W132" s="7">
        <f t="shared" si="25"/>
        <v>0</v>
      </c>
      <c r="Y132" s="17">
        <f t="shared" si="32"/>
        <v>0</v>
      </c>
      <c r="AA132" s="22" t="b">
        <f t="shared" si="24"/>
        <v>1</v>
      </c>
      <c r="AB132" s="56" t="s">
        <v>208</v>
      </c>
    </row>
    <row r="133" spans="1:28" x14ac:dyDescent="0.25">
      <c r="A133" s="1" t="s">
        <v>163</v>
      </c>
      <c r="B133" s="40" t="s">
        <v>209</v>
      </c>
      <c r="C133" s="57" t="s">
        <v>210</v>
      </c>
      <c r="D133" s="16"/>
      <c r="E133" s="8"/>
      <c r="F133" s="8"/>
      <c r="H133" s="3" t="s">
        <v>51</v>
      </c>
      <c r="I133" s="3" t="str">
        <f t="shared" ref="I133:J148" si="34">+C133</f>
        <v>Gasolina</v>
      </c>
      <c r="J133" s="7">
        <f t="shared" si="34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33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210</v>
      </c>
    </row>
    <row r="134" spans="1:28" x14ac:dyDescent="0.25">
      <c r="A134" s="1" t="s">
        <v>163</v>
      </c>
      <c r="B134" s="40" t="s">
        <v>211</v>
      </c>
      <c r="C134" s="57" t="s">
        <v>212</v>
      </c>
      <c r="D134" s="16"/>
      <c r="E134" s="8"/>
      <c r="F134" s="8"/>
      <c r="H134" s="3" t="s">
        <v>51</v>
      </c>
      <c r="I134" s="3" t="str">
        <f t="shared" si="34"/>
        <v>Gasoil</v>
      </c>
      <c r="J134" s="7">
        <f t="shared" si="34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212</v>
      </c>
    </row>
    <row r="135" spans="1:28" x14ac:dyDescent="0.25">
      <c r="A135" s="1" t="s">
        <v>163</v>
      </c>
      <c r="B135" s="40" t="e">
        <v>#N/A</v>
      </c>
      <c r="C135" s="57" t="s">
        <v>213</v>
      </c>
      <c r="D135" s="16"/>
      <c r="E135" s="8"/>
      <c r="F135" s="8"/>
      <c r="I135" s="3" t="str">
        <f t="shared" si="34"/>
        <v>Aceites y grasas</v>
      </c>
      <c r="J135" s="7">
        <f t="shared" si="34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213</v>
      </c>
    </row>
    <row r="136" spans="1:28" x14ac:dyDescent="0.25">
      <c r="A136" s="1" t="s">
        <v>163</v>
      </c>
      <c r="B136" s="40" t="s">
        <v>214</v>
      </c>
      <c r="C136" s="57" t="s">
        <v>215</v>
      </c>
      <c r="D136" s="16"/>
      <c r="E136" s="8"/>
      <c r="F136" s="8"/>
      <c r="H136" s="3" t="s">
        <v>51</v>
      </c>
      <c r="I136" s="3" t="str">
        <f t="shared" si="34"/>
        <v>Productos químicos de laboratorio y de uso personal</v>
      </c>
      <c r="J136" s="7">
        <f t="shared" si="34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215</v>
      </c>
    </row>
    <row r="137" spans="1:28" x14ac:dyDescent="0.25">
      <c r="A137" s="1" t="s">
        <v>163</v>
      </c>
      <c r="B137" s="40" t="s">
        <v>216</v>
      </c>
      <c r="C137" s="57" t="s">
        <v>217</v>
      </c>
      <c r="D137" s="16"/>
      <c r="E137" s="8"/>
      <c r="F137" s="8"/>
      <c r="H137" s="3" t="s">
        <v>51</v>
      </c>
      <c r="I137" s="3" t="str">
        <f t="shared" si="34"/>
        <v>Insecticidas, fumigantes y otros</v>
      </c>
      <c r="J137" s="7">
        <f t="shared" si="34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217</v>
      </c>
    </row>
    <row r="138" spans="1:28" x14ac:dyDescent="0.25">
      <c r="A138" s="1" t="s">
        <v>163</v>
      </c>
      <c r="B138" s="40" t="s">
        <v>218</v>
      </c>
      <c r="C138" s="57" t="s">
        <v>219</v>
      </c>
      <c r="D138" s="16"/>
      <c r="E138" s="8"/>
      <c r="F138" s="8"/>
      <c r="H138" s="3" t="s">
        <v>51</v>
      </c>
      <c r="I138" s="3" t="str">
        <f t="shared" si="34"/>
        <v>Pinturas, lacas, barnices, diluyentes y absorbentes para pinturas</v>
      </c>
      <c r="J138" s="7">
        <f t="shared" si="34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219</v>
      </c>
    </row>
    <row r="139" spans="1:28" s="40" customFormat="1" x14ac:dyDescent="0.25">
      <c r="A139" s="39"/>
      <c r="C139" s="50" t="s">
        <v>220</v>
      </c>
      <c r="D139" s="41"/>
      <c r="E139" s="30"/>
      <c r="F139" s="8"/>
      <c r="J139" s="7">
        <f t="shared" si="34"/>
        <v>0</v>
      </c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220</v>
      </c>
    </row>
    <row r="140" spans="1:28" x14ac:dyDescent="0.25">
      <c r="A140" s="1" t="s">
        <v>163</v>
      </c>
      <c r="B140" s="40" t="s">
        <v>221</v>
      </c>
      <c r="C140" s="57" t="s">
        <v>222</v>
      </c>
      <c r="D140" s="16"/>
      <c r="E140" s="8"/>
      <c r="F140" s="8"/>
      <c r="H140" s="3" t="s">
        <v>51</v>
      </c>
      <c r="I140" s="3" t="str">
        <f>+C140</f>
        <v>Material para limpieza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222</v>
      </c>
    </row>
    <row r="141" spans="1:28" x14ac:dyDescent="0.25">
      <c r="A141" s="1" t="s">
        <v>163</v>
      </c>
      <c r="B141" s="40" t="s">
        <v>223</v>
      </c>
      <c r="C141" s="57" t="s">
        <v>224</v>
      </c>
      <c r="D141" s="16"/>
      <c r="E141" s="8"/>
      <c r="F141" s="8"/>
      <c r="H141" s="3" t="s">
        <v>51</v>
      </c>
      <c r="I141" s="3" t="str">
        <f>+C141</f>
        <v>Útiles de escritorio, oficina e informática 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224</v>
      </c>
    </row>
    <row r="142" spans="1:28" x14ac:dyDescent="0.25">
      <c r="A142" s="1" t="s">
        <v>163</v>
      </c>
      <c r="B142" s="40" t="s">
        <v>225</v>
      </c>
      <c r="C142" s="57" t="s">
        <v>226</v>
      </c>
      <c r="D142" s="16"/>
      <c r="E142" s="8"/>
      <c r="F142" s="8"/>
      <c r="H142" s="3" t="s">
        <v>51</v>
      </c>
      <c r="I142" s="3" t="str">
        <f>+C142</f>
        <v>Útiles menores médico quirurgicos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226</v>
      </c>
    </row>
    <row r="143" spans="1:28" x14ac:dyDescent="0.25">
      <c r="A143" s="1" t="s">
        <v>163</v>
      </c>
      <c r="B143" s="40"/>
      <c r="C143" s="57" t="s">
        <v>227</v>
      </c>
      <c r="D143" s="16"/>
      <c r="E143" s="8"/>
      <c r="F143" s="8"/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>-N143</f>
        <v>0</v>
      </c>
      <c r="P143" s="7"/>
      <c r="Q143" s="7"/>
      <c r="S143" s="7">
        <f>SUM(N143:R143)</f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227</v>
      </c>
    </row>
    <row r="144" spans="1:28" x14ac:dyDescent="0.25">
      <c r="A144" s="1" t="s">
        <v>163</v>
      </c>
      <c r="B144" s="40" t="s">
        <v>228</v>
      </c>
      <c r="C144" s="57" t="s">
        <v>227</v>
      </c>
      <c r="D144" s="16"/>
      <c r="E144" s="8"/>
      <c r="F144" s="8"/>
      <c r="I144" s="3" t="str">
        <f t="shared" ref="I144:J159" si="35">+C144</f>
        <v>Útiles destinados a actividades deportivas y recreativas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227</v>
      </c>
    </row>
    <row r="145" spans="1:28" x14ac:dyDescent="0.25">
      <c r="A145" s="1" t="s">
        <v>163</v>
      </c>
      <c r="B145" s="40" t="s">
        <v>229</v>
      </c>
      <c r="C145" s="57" t="s">
        <v>230</v>
      </c>
      <c r="D145" s="16"/>
      <c r="E145" s="8"/>
      <c r="F145" s="8"/>
      <c r="H145" s="3" t="s">
        <v>51</v>
      </c>
      <c r="I145" s="3" t="str">
        <f t="shared" si="35"/>
        <v>Productos eléctricos y afines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230</v>
      </c>
    </row>
    <row r="146" spans="1:28" x14ac:dyDescent="0.25">
      <c r="A146" s="1" t="s">
        <v>163</v>
      </c>
      <c r="B146" s="40" t="s">
        <v>231</v>
      </c>
      <c r="C146" s="57" t="s">
        <v>232</v>
      </c>
      <c r="D146" s="16"/>
      <c r="E146" s="8"/>
      <c r="F146" s="8"/>
      <c r="H146" s="3" t="s">
        <v>51</v>
      </c>
      <c r="I146" s="3" t="str">
        <f t="shared" si="35"/>
        <v xml:space="preserve">Productos y utiles veterinarios </v>
      </c>
      <c r="J146" s="7">
        <f t="shared" si="34"/>
        <v>0</v>
      </c>
      <c r="M146" s="7">
        <f t="shared" si="28"/>
        <v>0</v>
      </c>
      <c r="N146" s="8">
        <f t="shared" ref="N146:N159" si="36">+J146+K146-L146-M146</f>
        <v>0</v>
      </c>
      <c r="O146" s="7">
        <f>-N146</f>
        <v>0</v>
      </c>
      <c r="P146" s="7"/>
      <c r="Q146" s="7"/>
      <c r="S146" s="7">
        <f>SUM(N146:R146)</f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232</v>
      </c>
    </row>
    <row r="147" spans="1:28" x14ac:dyDescent="0.25">
      <c r="A147" s="1" t="s">
        <v>163</v>
      </c>
      <c r="B147" s="40" t="s">
        <v>233</v>
      </c>
      <c r="C147" s="57" t="s">
        <v>234</v>
      </c>
      <c r="D147" s="16"/>
      <c r="E147" s="8"/>
      <c r="F147" s="8"/>
      <c r="H147" s="3" t="s">
        <v>51</v>
      </c>
      <c r="I147" s="3" t="str">
        <f t="shared" si="35"/>
        <v>Otros repuestos y accesorios menores</v>
      </c>
      <c r="J147" s="7">
        <f t="shared" si="34"/>
        <v>0</v>
      </c>
      <c r="M147" s="7">
        <f t="shared" si="28"/>
        <v>0</v>
      </c>
      <c r="N147" s="8">
        <f t="shared" si="36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234</v>
      </c>
    </row>
    <row r="148" spans="1:28" x14ac:dyDescent="0.25">
      <c r="A148" s="1" t="s">
        <v>163</v>
      </c>
      <c r="B148" s="40" t="s">
        <v>235</v>
      </c>
      <c r="C148" s="57" t="s">
        <v>236</v>
      </c>
      <c r="D148" s="16"/>
      <c r="E148" s="8"/>
      <c r="F148" s="8"/>
      <c r="H148" s="3" t="s">
        <v>51</v>
      </c>
      <c r="I148" s="3" t="str">
        <f t="shared" si="35"/>
        <v>Productos y útiles varios</v>
      </c>
      <c r="J148" s="7">
        <f t="shared" si="34"/>
        <v>0</v>
      </c>
      <c r="M148" s="7">
        <f t="shared" si="28"/>
        <v>0</v>
      </c>
      <c r="N148" s="8">
        <f t="shared" si="36"/>
        <v>0</v>
      </c>
      <c r="O148" s="7">
        <f t="shared" si="27"/>
        <v>0</v>
      </c>
      <c r="P148" s="7"/>
      <c r="Q148" s="7"/>
      <c r="S148" s="7">
        <f t="shared" si="33"/>
        <v>0</v>
      </c>
      <c r="U148" s="7"/>
      <c r="V148" s="7"/>
      <c r="W148" s="7">
        <f t="shared" si="25"/>
        <v>0</v>
      </c>
      <c r="Y148" s="7">
        <f t="shared" si="32"/>
        <v>0</v>
      </c>
      <c r="AA148" s="22" t="b">
        <f t="shared" si="24"/>
        <v>0</v>
      </c>
      <c r="AB148" s="57" t="s">
        <v>237</v>
      </c>
    </row>
    <row r="149" spans="1:28" x14ac:dyDescent="0.25">
      <c r="A149" s="1" t="s">
        <v>85</v>
      </c>
      <c r="B149" s="40" t="s">
        <v>238</v>
      </c>
      <c r="C149" s="57" t="s">
        <v>239</v>
      </c>
      <c r="D149" s="16"/>
      <c r="E149" s="8"/>
      <c r="F149" s="8"/>
      <c r="H149" s="3" t="s">
        <v>51</v>
      </c>
      <c r="I149" s="3" t="str">
        <f t="shared" si="35"/>
        <v>Bonos para útiles diversos</v>
      </c>
      <c r="J149" s="7">
        <f t="shared" si="35"/>
        <v>0</v>
      </c>
      <c r="M149" s="7">
        <f t="shared" si="28"/>
        <v>0</v>
      </c>
      <c r="N149" s="8">
        <f t="shared" si="36"/>
        <v>0</v>
      </c>
      <c r="O149" s="7">
        <f t="shared" si="27"/>
        <v>0</v>
      </c>
      <c r="P149" s="7"/>
      <c r="Q149" s="7"/>
      <c r="S149" s="7">
        <f t="shared" si="33"/>
        <v>0</v>
      </c>
      <c r="U149" s="7">
        <f>+O149</f>
        <v>0</v>
      </c>
      <c r="V149" s="7"/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239</v>
      </c>
    </row>
    <row r="150" spans="1:28" s="40" customFormat="1" x14ac:dyDescent="0.25">
      <c r="A150" s="39"/>
      <c r="B150" s="2"/>
      <c r="C150" s="59" t="s">
        <v>240</v>
      </c>
      <c r="D150" s="43"/>
      <c r="E150" s="30"/>
      <c r="F150" s="8"/>
      <c r="I150" s="40" t="str">
        <f t="shared" si="35"/>
        <v>ajustes</v>
      </c>
      <c r="J150" s="7">
        <f t="shared" si="35"/>
        <v>0</v>
      </c>
      <c r="M150" s="7">
        <f t="shared" si="28"/>
        <v>0</v>
      </c>
      <c r="N150" s="8">
        <f t="shared" si="36"/>
        <v>0</v>
      </c>
      <c r="O150" s="17">
        <f t="shared" si="27"/>
        <v>0</v>
      </c>
      <c r="P150" s="17"/>
      <c r="Q150" s="17"/>
      <c r="S150" s="7">
        <f t="shared" si="33"/>
        <v>0</v>
      </c>
      <c r="U150" s="7"/>
      <c r="W150" s="7">
        <f t="shared" si="25"/>
        <v>0</v>
      </c>
      <c r="Y150" s="17">
        <f t="shared" si="32"/>
        <v>0</v>
      </c>
      <c r="AA150" s="22" t="b">
        <f t="shared" si="24"/>
        <v>0</v>
      </c>
      <c r="AB150" s="60"/>
    </row>
    <row r="151" spans="1:28" x14ac:dyDescent="0.25">
      <c r="A151" s="1" t="s">
        <v>163</v>
      </c>
      <c r="B151" s="61" t="s">
        <v>241</v>
      </c>
      <c r="C151" s="57" t="s">
        <v>242</v>
      </c>
      <c r="D151" s="16"/>
      <c r="E151" s="8"/>
      <c r="F151" s="8"/>
      <c r="I151" s="3" t="str">
        <f>+C151</f>
        <v>Minerales</v>
      </c>
      <c r="J151" s="7">
        <f t="shared" si="35"/>
        <v>0</v>
      </c>
      <c r="M151" s="7">
        <f t="shared" si="28"/>
        <v>0</v>
      </c>
      <c r="N151" s="8">
        <f t="shared" si="36"/>
        <v>0</v>
      </c>
      <c r="O151" s="7">
        <f t="shared" si="27"/>
        <v>0</v>
      </c>
      <c r="P151" s="7"/>
      <c r="Q151" s="7"/>
      <c r="S151" s="7">
        <f t="shared" si="33"/>
        <v>0</v>
      </c>
      <c r="U151" s="7">
        <f>+O151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242</v>
      </c>
    </row>
    <row r="152" spans="1:28" x14ac:dyDescent="0.25">
      <c r="A152" s="1" t="s">
        <v>163</v>
      </c>
      <c r="B152" s="61" t="s">
        <v>243</v>
      </c>
      <c r="C152" s="57" t="s">
        <v>244</v>
      </c>
      <c r="D152" s="16"/>
      <c r="E152" s="8"/>
      <c r="F152" s="8"/>
      <c r="H152" s="3" t="s">
        <v>51</v>
      </c>
      <c r="I152" s="3" t="str">
        <f>+C152</f>
        <v>Útiles de cocina y comedor</v>
      </c>
      <c r="J152" s="7">
        <f t="shared" si="35"/>
        <v>0</v>
      </c>
      <c r="M152" s="7">
        <f t="shared" si="28"/>
        <v>0</v>
      </c>
      <c r="N152" s="8">
        <f t="shared" si="36"/>
        <v>0</v>
      </c>
      <c r="O152" s="7">
        <f t="shared" si="27"/>
        <v>0</v>
      </c>
      <c r="P152" s="7"/>
      <c r="Q152" s="7"/>
      <c r="S152" s="7">
        <f t="shared" si="33"/>
        <v>0</v>
      </c>
      <c r="U152" s="7">
        <f>+O152</f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244</v>
      </c>
    </row>
    <row r="153" spans="1:28" s="40" customFormat="1" x14ac:dyDescent="0.25">
      <c r="A153" s="39"/>
      <c r="B153" s="62"/>
      <c r="C153" s="59"/>
      <c r="D153" s="41"/>
      <c r="E153" s="30"/>
      <c r="F153" s="8"/>
      <c r="J153" s="7">
        <f t="shared" si="35"/>
        <v>0</v>
      </c>
      <c r="M153" s="7">
        <f t="shared" si="28"/>
        <v>0</v>
      </c>
      <c r="N153" s="8">
        <f t="shared" si="36"/>
        <v>0</v>
      </c>
      <c r="O153" s="17"/>
      <c r="P153" s="17"/>
      <c r="Q153" s="17"/>
      <c r="S153" s="7">
        <f t="shared" si="33"/>
        <v>0</v>
      </c>
      <c r="U153" s="7">
        <f>+O153</f>
        <v>0</v>
      </c>
      <c r="W153" s="7">
        <f t="shared" si="25"/>
        <v>0</v>
      </c>
      <c r="X153" s="7">
        <f t="shared" ref="X153:X161" si="37">N153</f>
        <v>0</v>
      </c>
      <c r="Y153" s="17"/>
      <c r="AA153" s="57"/>
      <c r="AB153" s="57"/>
    </row>
    <row r="154" spans="1:28" x14ac:dyDescent="0.25">
      <c r="A154" s="1" t="s">
        <v>111</v>
      </c>
      <c r="C154" s="3" t="s">
        <v>245</v>
      </c>
      <c r="D154" s="16"/>
      <c r="E154" s="8"/>
      <c r="F154" s="8"/>
      <c r="H154" s="3" t="s">
        <v>51</v>
      </c>
      <c r="I154" s="3" t="s">
        <v>245</v>
      </c>
      <c r="J154" s="7">
        <f t="shared" si="35"/>
        <v>0</v>
      </c>
      <c r="K154" s="7"/>
      <c r="L154" s="7"/>
      <c r="M154" s="7">
        <f t="shared" si="28"/>
        <v>0</v>
      </c>
      <c r="N154" s="8">
        <f t="shared" si="36"/>
        <v>0</v>
      </c>
      <c r="O154" s="7">
        <f>-N154</f>
        <v>0</v>
      </c>
      <c r="P154" s="7"/>
      <c r="Q154" s="7"/>
      <c r="S154" s="7">
        <f t="shared" si="33"/>
        <v>0</v>
      </c>
      <c r="U154" s="7"/>
      <c r="V154" s="7"/>
      <c r="W154" s="7">
        <f t="shared" si="25"/>
        <v>0</v>
      </c>
      <c r="X154" s="7"/>
      <c r="Y154" s="7">
        <f>SUM(T154:X154)-O154</f>
        <v>0</v>
      </c>
    </row>
    <row r="155" spans="1:28" s="40" customFormat="1" x14ac:dyDescent="0.25">
      <c r="A155" s="39"/>
      <c r="B155" s="2"/>
      <c r="C155" s="50" t="s">
        <v>246</v>
      </c>
      <c r="D155" s="41"/>
      <c r="E155" s="30"/>
      <c r="F155" s="8"/>
      <c r="J155" s="7">
        <f t="shared" si="35"/>
        <v>0</v>
      </c>
      <c r="M155" s="7">
        <f t="shared" si="28"/>
        <v>0</v>
      </c>
      <c r="N155" s="8">
        <f t="shared" si="36"/>
        <v>0</v>
      </c>
      <c r="U155" s="7">
        <f t="shared" ref="U155:U165" si="38">+O155</f>
        <v>0</v>
      </c>
      <c r="W155" s="7">
        <f t="shared" si="25"/>
        <v>0</v>
      </c>
      <c r="X155" s="7">
        <f t="shared" si="37"/>
        <v>0</v>
      </c>
    </row>
    <row r="156" spans="1:28" x14ac:dyDescent="0.25">
      <c r="A156" s="1" t="s">
        <v>247</v>
      </c>
      <c r="B156" s="54" t="s">
        <v>248</v>
      </c>
      <c r="C156" s="3" t="s">
        <v>249</v>
      </c>
      <c r="D156" s="16"/>
      <c r="E156" s="8"/>
      <c r="F156" s="8"/>
      <c r="H156" s="3" t="s">
        <v>51</v>
      </c>
      <c r="I156" s="3" t="str">
        <f t="shared" ref="I156:J171" si="39">+C156</f>
        <v>Ayudas y donaciones ocacionales a hogares y personas</v>
      </c>
      <c r="J156" s="7">
        <f t="shared" si="35"/>
        <v>0</v>
      </c>
      <c r="K156" s="7"/>
      <c r="L156" s="7"/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 t="shared" si="38"/>
        <v>0</v>
      </c>
      <c r="W156" s="7">
        <f t="shared" si="25"/>
        <v>0</v>
      </c>
      <c r="X156" s="7">
        <f t="shared" si="37"/>
        <v>0</v>
      </c>
      <c r="Y156" s="7">
        <f t="shared" ref="Y156:Y162" si="40">SUM(T156:X156)-O156</f>
        <v>0</v>
      </c>
    </row>
    <row r="157" spans="1:28" x14ac:dyDescent="0.25">
      <c r="A157" s="1" t="s">
        <v>85</v>
      </c>
      <c r="B157" s="54" t="s">
        <v>250</v>
      </c>
      <c r="C157" s="3" t="s">
        <v>251</v>
      </c>
      <c r="D157" s="16"/>
      <c r="E157" s="8"/>
      <c r="F157" s="8"/>
      <c r="H157" s="3" t="s">
        <v>51</v>
      </c>
      <c r="I157" s="3" t="str">
        <f t="shared" si="39"/>
        <v>Becas nacionales</v>
      </c>
      <c r="J157" s="7">
        <f t="shared" si="35"/>
        <v>0</v>
      </c>
      <c r="K157" s="7"/>
      <c r="L157" s="7"/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 t="shared" si="38"/>
        <v>0</v>
      </c>
      <c r="V157" s="7"/>
      <c r="W157" s="7">
        <f t="shared" si="25"/>
        <v>0</v>
      </c>
      <c r="X157" s="7">
        <f t="shared" si="37"/>
        <v>0</v>
      </c>
      <c r="Y157" s="7">
        <f t="shared" si="40"/>
        <v>0</v>
      </c>
    </row>
    <row r="158" spans="1:28" x14ac:dyDescent="0.25">
      <c r="A158" s="1" t="s">
        <v>85</v>
      </c>
      <c r="B158" s="54" t="s">
        <v>252</v>
      </c>
      <c r="C158" s="3" t="s">
        <v>253</v>
      </c>
      <c r="D158" s="16"/>
      <c r="E158" s="8"/>
      <c r="F158" s="8"/>
      <c r="I158" s="3" t="str">
        <f t="shared" si="39"/>
        <v>Becas extranjeras</v>
      </c>
      <c r="J158" s="7">
        <f t="shared" si="35"/>
        <v>0</v>
      </c>
      <c r="K158" s="7"/>
      <c r="L158" s="7"/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 t="shared" si="38"/>
        <v>0</v>
      </c>
      <c r="V158" s="7"/>
      <c r="W158" s="7">
        <f t="shared" si="25"/>
        <v>0</v>
      </c>
      <c r="X158" s="7">
        <f t="shared" si="37"/>
        <v>0</v>
      </c>
      <c r="Y158" s="7">
        <f t="shared" si="40"/>
        <v>0</v>
      </c>
    </row>
    <row r="159" spans="1:28" x14ac:dyDescent="0.25">
      <c r="A159" s="1" t="s">
        <v>247</v>
      </c>
      <c r="B159" s="54" t="s">
        <v>254</v>
      </c>
      <c r="C159" s="3" t="s">
        <v>255</v>
      </c>
      <c r="D159" s="16">
        <v>1120000</v>
      </c>
      <c r="E159" s="8"/>
      <c r="F159" s="8"/>
      <c r="H159" s="3" t="s">
        <v>51</v>
      </c>
      <c r="I159" s="3" t="str">
        <f t="shared" si="39"/>
        <v>Transferencias corrientes a asociaciones sin fines de lucro</v>
      </c>
      <c r="J159" s="7">
        <f t="shared" si="35"/>
        <v>1120000</v>
      </c>
      <c r="K159" s="7"/>
      <c r="L159" s="7"/>
      <c r="M159" s="7">
        <f t="shared" si="28"/>
        <v>0</v>
      </c>
      <c r="N159" s="8">
        <f t="shared" si="36"/>
        <v>1120000</v>
      </c>
      <c r="O159" s="7">
        <f t="shared" si="27"/>
        <v>-1120000</v>
      </c>
      <c r="P159" s="7"/>
      <c r="Q159" s="7"/>
      <c r="S159" s="7">
        <f t="shared" si="33"/>
        <v>0</v>
      </c>
      <c r="U159" s="7"/>
      <c r="W159" s="7"/>
      <c r="X159" s="7"/>
      <c r="Y159" s="7"/>
    </row>
    <row r="160" spans="1:28" x14ac:dyDescent="0.25">
      <c r="A160" s="1" t="s">
        <v>256</v>
      </c>
      <c r="B160" s="63"/>
      <c r="C160" s="64" t="s">
        <v>257</v>
      </c>
      <c r="D160" s="16">
        <v>2067383.33</v>
      </c>
      <c r="E160" s="8"/>
      <c r="F160" s="8"/>
      <c r="I160" s="3" t="str">
        <f t="shared" si="39"/>
        <v>Gasto de depreciación</v>
      </c>
      <c r="J160" s="7">
        <f t="shared" si="39"/>
        <v>2067383.33</v>
      </c>
      <c r="K160" s="36"/>
      <c r="L160" s="7"/>
      <c r="M160" s="7">
        <f t="shared" si="28"/>
        <v>0</v>
      </c>
      <c r="N160" s="8"/>
      <c r="O160" s="7"/>
      <c r="P160" s="7"/>
      <c r="Q160" s="7"/>
      <c r="S160" s="7"/>
      <c r="U160" s="7"/>
      <c r="W160" s="7"/>
      <c r="X160" s="7"/>
      <c r="Y160" s="7"/>
    </row>
    <row r="161" spans="1:25" x14ac:dyDescent="0.25">
      <c r="A161" s="1" t="s">
        <v>256</v>
      </c>
      <c r="B161" s="63"/>
      <c r="C161" s="64" t="s">
        <v>258</v>
      </c>
      <c r="D161" s="16"/>
      <c r="E161" s="8"/>
      <c r="F161" s="8"/>
      <c r="I161" s="3" t="str">
        <f t="shared" si="39"/>
        <v>Gasto de amortización</v>
      </c>
      <c r="J161" s="7">
        <f t="shared" si="39"/>
        <v>0</v>
      </c>
      <c r="K161" s="7"/>
      <c r="L161" s="7"/>
      <c r="M161" s="7">
        <f t="shared" si="28"/>
        <v>0</v>
      </c>
      <c r="N161" s="8">
        <f>+J161+K161-L161-M161</f>
        <v>0</v>
      </c>
      <c r="O161" s="7">
        <f t="shared" si="27"/>
        <v>0</v>
      </c>
      <c r="P161" s="7"/>
      <c r="Q161" s="7"/>
      <c r="S161" s="7">
        <f>SUM(N161:R161)</f>
        <v>0</v>
      </c>
      <c r="U161" s="7">
        <f t="shared" si="38"/>
        <v>0</v>
      </c>
      <c r="W161" s="7">
        <f t="shared" si="25"/>
        <v>0</v>
      </c>
      <c r="X161" s="7">
        <f t="shared" si="37"/>
        <v>0</v>
      </c>
      <c r="Y161" s="7">
        <f t="shared" si="40"/>
        <v>0</v>
      </c>
    </row>
    <row r="162" spans="1:25" x14ac:dyDescent="0.25">
      <c r="A162" s="1" t="s">
        <v>111</v>
      </c>
      <c r="C162" s="3" t="s">
        <v>259</v>
      </c>
      <c r="D162" s="7"/>
      <c r="E162" s="8">
        <f>SUM(E37:E160)</f>
        <v>-1055000</v>
      </c>
      <c r="F162" s="8"/>
      <c r="I162" s="3" t="str">
        <f t="shared" si="39"/>
        <v>Pérdida por retiro</v>
      </c>
      <c r="J162" s="7">
        <f t="shared" si="39"/>
        <v>0</v>
      </c>
      <c r="K162" s="7"/>
      <c r="L162" s="7"/>
      <c r="M162" s="7">
        <f t="shared" si="28"/>
        <v>0</v>
      </c>
      <c r="N162" s="8">
        <f>+J162+K162-L162-M162</f>
        <v>0</v>
      </c>
      <c r="O162" s="7">
        <f t="shared" si="27"/>
        <v>0</v>
      </c>
      <c r="P162" s="7"/>
      <c r="Q162" s="7"/>
      <c r="S162" s="7">
        <f>SUM(N162:R162)</f>
        <v>0</v>
      </c>
      <c r="U162" s="7">
        <f t="shared" si="38"/>
        <v>0</v>
      </c>
      <c r="W162" s="7"/>
      <c r="Y162" s="7">
        <f t="shared" si="40"/>
        <v>0</v>
      </c>
    </row>
    <row r="163" spans="1:25" x14ac:dyDescent="0.25">
      <c r="C163" s="22"/>
      <c r="D163" s="7"/>
      <c r="E163" s="8"/>
      <c r="F163" s="8">
        <f>+D159+D105+D85+D58+D45</f>
        <v>24833342.690000005</v>
      </c>
      <c r="J163" s="7">
        <f t="shared" si="39"/>
        <v>0</v>
      </c>
      <c r="K163" s="7"/>
      <c r="L163" s="7"/>
      <c r="M163" s="7"/>
      <c r="N163" s="8"/>
      <c r="O163" s="7"/>
      <c r="P163" s="7"/>
      <c r="Q163" s="7"/>
      <c r="S163" s="7"/>
      <c r="U163" s="7">
        <f t="shared" si="38"/>
        <v>0</v>
      </c>
      <c r="W163" s="7"/>
      <c r="Y163" s="7"/>
    </row>
    <row r="164" spans="1:25" s="40" customFormat="1" x14ac:dyDescent="0.25">
      <c r="A164" s="39"/>
      <c r="B164" s="2"/>
      <c r="C164" s="50" t="s">
        <v>260</v>
      </c>
      <c r="D164" s="65"/>
      <c r="E164" s="8"/>
      <c r="F164" s="8"/>
      <c r="G164" s="66"/>
      <c r="I164" s="40" t="s">
        <v>261</v>
      </c>
      <c r="J164" s="7">
        <f t="shared" si="39"/>
        <v>0</v>
      </c>
      <c r="K164" s="17">
        <f>+L31</f>
        <v>0</v>
      </c>
      <c r="L164" s="17"/>
      <c r="M164" s="17"/>
      <c r="N164" s="30">
        <f>J164+K164+L164-M164</f>
        <v>0</v>
      </c>
      <c r="O164" s="17">
        <f t="shared" si="27"/>
        <v>0</v>
      </c>
      <c r="P164" s="17"/>
      <c r="Q164" s="17"/>
      <c r="S164" s="17">
        <f>SUM(N164:R164)</f>
        <v>0</v>
      </c>
      <c r="U164" s="7"/>
      <c r="W164" s="7"/>
      <c r="Y164" s="17">
        <f>SUM(T164:X164)-O164</f>
        <v>0</v>
      </c>
    </row>
    <row r="165" spans="1:25" x14ac:dyDescent="0.25">
      <c r="D165" s="7"/>
      <c r="E165" s="8"/>
      <c r="F165" s="8"/>
      <c r="J165" s="7">
        <f t="shared" si="39"/>
        <v>0</v>
      </c>
      <c r="M165" s="7"/>
      <c r="U165" s="7">
        <f t="shared" si="38"/>
        <v>0</v>
      </c>
      <c r="W165" s="7">
        <f t="shared" si="25"/>
        <v>0</v>
      </c>
      <c r="Y165" s="7">
        <f>SUM(T165:X165)-O165</f>
        <v>0</v>
      </c>
    </row>
    <row r="166" spans="1:25" x14ac:dyDescent="0.25">
      <c r="D166" s="7"/>
      <c r="E166" s="8"/>
      <c r="F166" s="8"/>
      <c r="J166" s="7">
        <f t="shared" si="39"/>
        <v>0</v>
      </c>
      <c r="M166" s="7"/>
      <c r="W166" s="7">
        <f t="shared" si="25"/>
        <v>0</v>
      </c>
    </row>
    <row r="167" spans="1:25" x14ac:dyDescent="0.25">
      <c r="C167" s="3" t="s">
        <v>262</v>
      </c>
      <c r="D167" s="7"/>
      <c r="E167" s="8"/>
      <c r="F167" s="8"/>
      <c r="J167" s="7">
        <f t="shared" si="39"/>
        <v>0</v>
      </c>
      <c r="M167" s="7"/>
      <c r="W167" s="7">
        <f t="shared" ref="W167:W180" si="41">+O167</f>
        <v>0</v>
      </c>
    </row>
    <row r="168" spans="1:25" x14ac:dyDescent="0.25">
      <c r="C168" s="67" t="s">
        <v>0</v>
      </c>
      <c r="D168" s="8"/>
      <c r="E168" s="8">
        <f t="shared" ref="E168" si="42">+SUBTOTAL(9,E12:E161)</f>
        <v>-1055000</v>
      </c>
      <c r="F168" s="8">
        <f>+SUBTOTAL(9,F12:F161)</f>
        <v>239561772.11999997</v>
      </c>
      <c r="J168" s="7">
        <f t="shared" si="39"/>
        <v>0</v>
      </c>
      <c r="M168" s="7"/>
      <c r="W168" s="7">
        <f t="shared" si="41"/>
        <v>0</v>
      </c>
    </row>
    <row r="169" spans="1:25" x14ac:dyDescent="0.25">
      <c r="C169" s="67"/>
      <c r="D169" s="7"/>
      <c r="E169" s="8"/>
      <c r="F169" s="8"/>
      <c r="J169" s="7">
        <f t="shared" si="39"/>
        <v>0</v>
      </c>
      <c r="M169" s="7"/>
      <c r="W169" s="7">
        <f t="shared" si="41"/>
        <v>0</v>
      </c>
    </row>
    <row r="170" spans="1:25" x14ac:dyDescent="0.25">
      <c r="C170" s="67"/>
      <c r="D170" s="7"/>
      <c r="E170" s="8"/>
      <c r="F170" s="8"/>
      <c r="J170" s="7">
        <f t="shared" si="39"/>
        <v>0</v>
      </c>
      <c r="M170" s="7"/>
      <c r="W170" s="7">
        <f t="shared" si="41"/>
        <v>0</v>
      </c>
    </row>
    <row r="171" spans="1:25" x14ac:dyDescent="0.25">
      <c r="C171" s="67"/>
      <c r="D171" s="7"/>
      <c r="E171" s="8"/>
      <c r="F171" s="8"/>
      <c r="J171" s="7">
        <f t="shared" si="39"/>
        <v>0</v>
      </c>
      <c r="M171" s="7"/>
      <c r="W171" s="7">
        <f t="shared" si="41"/>
        <v>0</v>
      </c>
    </row>
    <row r="172" spans="1:25" x14ac:dyDescent="0.25">
      <c r="C172" s="67"/>
      <c r="D172" s="7"/>
      <c r="E172" s="8"/>
      <c r="F172" s="8"/>
      <c r="J172" s="7">
        <f>+D172</f>
        <v>0</v>
      </c>
      <c r="M172" s="7"/>
      <c r="W172" s="7">
        <f t="shared" si="41"/>
        <v>0</v>
      </c>
    </row>
    <row r="173" spans="1:25" x14ac:dyDescent="0.25">
      <c r="C173" s="67"/>
      <c r="D173" s="7"/>
      <c r="E173" s="8"/>
      <c r="F173" s="8"/>
      <c r="J173" s="7">
        <f>+D173</f>
        <v>0</v>
      </c>
      <c r="M173" s="7"/>
      <c r="W173" s="7">
        <f t="shared" si="41"/>
        <v>0</v>
      </c>
    </row>
    <row r="174" spans="1:25" x14ac:dyDescent="0.25">
      <c r="C174" s="67"/>
      <c r="D174" s="7"/>
      <c r="E174" s="8"/>
      <c r="F174" s="8"/>
      <c r="J174" s="7"/>
      <c r="M174" s="7"/>
      <c r="W174" s="7">
        <f t="shared" si="41"/>
        <v>0</v>
      </c>
    </row>
    <row r="175" spans="1:25" x14ac:dyDescent="0.25">
      <c r="C175" s="67"/>
      <c r="D175" s="7"/>
      <c r="E175" s="8"/>
      <c r="F175" s="8"/>
      <c r="J175" s="7"/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/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/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/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/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/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</row>
    <row r="182" spans="3:23" x14ac:dyDescent="0.25">
      <c r="C182" s="67"/>
      <c r="D182" s="7"/>
      <c r="E182" s="8"/>
      <c r="F182" s="8"/>
      <c r="J182" s="7"/>
      <c r="M182" s="7"/>
    </row>
    <row r="183" spans="3:23" x14ac:dyDescent="0.25">
      <c r="C183" s="67"/>
      <c r="D183" s="7"/>
      <c r="E183" s="8"/>
      <c r="F183" s="8"/>
      <c r="J183" s="7"/>
      <c r="M183" s="7"/>
    </row>
    <row r="184" spans="3:23" x14ac:dyDescent="0.25">
      <c r="C184" s="67"/>
      <c r="D184" s="7"/>
      <c r="E184" s="8"/>
      <c r="F184" s="8"/>
      <c r="J184" s="7"/>
      <c r="M184" s="7"/>
    </row>
    <row r="185" spans="3:23" x14ac:dyDescent="0.25">
      <c r="C185" s="67"/>
      <c r="D185" s="7"/>
      <c r="E185" s="8"/>
      <c r="F185" s="8"/>
      <c r="J185" s="7"/>
      <c r="M185" s="7"/>
    </row>
    <row r="186" spans="3:23" x14ac:dyDescent="0.25">
      <c r="C186" s="67"/>
      <c r="D186" s="7"/>
      <c r="E186" s="8"/>
      <c r="F186" s="8"/>
      <c r="J186" s="7"/>
      <c r="M186" s="7"/>
    </row>
    <row r="187" spans="3:23" x14ac:dyDescent="0.25">
      <c r="C187" s="67"/>
      <c r="D187" s="7"/>
      <c r="E187" s="8"/>
      <c r="F187" s="8"/>
      <c r="J187" s="7"/>
      <c r="M187" s="7"/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7"/>
      <c r="F200" s="7"/>
      <c r="J200" s="7"/>
      <c r="M200" s="7"/>
    </row>
    <row r="201" spans="3:13" x14ac:dyDescent="0.25">
      <c r="C201" s="67"/>
      <c r="D201" s="7"/>
      <c r="E201" s="7"/>
      <c r="F201" s="7"/>
      <c r="J201" s="7"/>
      <c r="M201" s="7"/>
    </row>
  </sheetData>
  <autoFilter ref="A11:Y164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6"/>
  <sheetViews>
    <sheetView view="pageBreakPreview" topLeftCell="C8" zoomScaleSheetLayoutView="100" workbookViewId="0">
      <selection activeCell="J28" sqref="J28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4" ht="117.75" customHeight="1" x14ac:dyDescent="0.25">
      <c r="C1" s="190" t="str">
        <f>'[4] ERF-Rendimiento Financiero'!C3</f>
        <v>Estado de Rendimiento Financiero</v>
      </c>
      <c r="D1" s="190"/>
      <c r="E1" s="190"/>
      <c r="F1" s="190"/>
      <c r="G1" s="190"/>
      <c r="H1" s="190"/>
    </row>
    <row r="2" spans="1:14" ht="15" customHeight="1" x14ac:dyDescent="0.25">
      <c r="C2" s="188" t="s">
        <v>401</v>
      </c>
      <c r="D2" s="188"/>
      <c r="E2" s="188"/>
      <c r="F2" s="188"/>
      <c r="G2" s="188"/>
      <c r="H2" s="71"/>
    </row>
    <row r="3" spans="1:14" ht="15" customHeight="1" x14ac:dyDescent="0.25">
      <c r="C3" s="188" t="str">
        <f>'[4] ERF-Rendimiento Financiero'!C5</f>
        <v>(Valores en RD$)</v>
      </c>
      <c r="D3" s="188"/>
      <c r="E3" s="188"/>
      <c r="F3" s="188"/>
      <c r="G3" s="188"/>
      <c r="H3" s="188"/>
    </row>
    <row r="4" spans="1:14" ht="15" customHeight="1" x14ac:dyDescent="0.25">
      <c r="C4" s="72"/>
      <c r="D4" s="72"/>
      <c r="E4" s="72"/>
      <c r="F4" s="73"/>
      <c r="G4" s="73"/>
      <c r="H4" s="73"/>
    </row>
    <row r="5" spans="1:14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4" ht="15.75" x14ac:dyDescent="0.25">
      <c r="C6" s="72" t="s">
        <v>263</v>
      </c>
      <c r="D6" s="72"/>
      <c r="E6" s="72"/>
      <c r="F6" s="75"/>
      <c r="G6" s="76"/>
      <c r="H6" s="77"/>
      <c r="K6" s="78"/>
    </row>
    <row r="7" spans="1:14" hidden="1" x14ac:dyDescent="0.25">
      <c r="A7" s="68" t="s">
        <v>264</v>
      </c>
      <c r="C7" s="69" t="s">
        <v>265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4" ht="15.75" x14ac:dyDescent="0.25">
      <c r="A8" s="68" t="s">
        <v>75</v>
      </c>
      <c r="C8" s="73" t="s">
        <v>266</v>
      </c>
      <c r="D8" s="73"/>
      <c r="E8" s="73"/>
      <c r="F8" s="75">
        <f>-'BC Balance Comprobación'!D37</f>
        <v>1950000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4" ht="15.75" x14ac:dyDescent="0.25">
      <c r="A9" s="68" t="s">
        <v>77</v>
      </c>
      <c r="C9" s="73" t="s">
        <v>78</v>
      </c>
      <c r="D9" s="73"/>
      <c r="E9" s="73"/>
      <c r="F9" s="75">
        <f>-'BC Balance Comprobación'!D38</f>
        <v>17887836.699999999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4" ht="15.75" x14ac:dyDescent="0.25">
      <c r="A10" s="68" t="s">
        <v>80</v>
      </c>
      <c r="C10" s="73" t="s">
        <v>403</v>
      </c>
      <c r="D10" s="73"/>
      <c r="E10" s="73"/>
      <c r="F10" s="79">
        <f>-'BC Balance Comprobación'!D39</f>
        <v>4663200</v>
      </c>
      <c r="G10" s="75"/>
      <c r="H10" s="79" t="e">
        <f>-SUMIF('[2]BC Balance Comprobación'!A:A,' ERF-Rendimiento Financiero'!A10,'[2]BC Balance Comprobación'!F:F)</f>
        <v>#VALUE!</v>
      </c>
      <c r="K10" s="78" t="e">
        <f>+F10+H10</f>
        <v>#VALUE!</v>
      </c>
    </row>
    <row r="11" spans="1:14" ht="15.75" x14ac:dyDescent="0.25">
      <c r="C11" s="71" t="s">
        <v>267</v>
      </c>
      <c r="D11" s="71"/>
      <c r="E11" s="71"/>
      <c r="F11" s="80">
        <f>F8+F9+F10</f>
        <v>24501036.699999999</v>
      </c>
      <c r="G11" s="81"/>
      <c r="H11" s="80" t="e">
        <f>SUM(H7:H10)</f>
        <v>#VALUE!</v>
      </c>
      <c r="K11" s="78" t="e">
        <f>+F11+H11</f>
        <v>#VALUE!</v>
      </c>
      <c r="L11" s="82"/>
    </row>
    <row r="12" spans="1:14" ht="18.75" customHeight="1" x14ac:dyDescent="0.25">
      <c r="C12" s="73" t="s">
        <v>262</v>
      </c>
      <c r="D12" s="73"/>
      <c r="E12" s="73"/>
      <c r="F12" s="75"/>
      <c r="G12" s="75"/>
      <c r="H12" s="75"/>
    </row>
    <row r="13" spans="1:14" ht="15.75" x14ac:dyDescent="0.25">
      <c r="C13" s="71" t="s">
        <v>268</v>
      </c>
      <c r="D13" s="71"/>
      <c r="E13" s="71"/>
      <c r="F13" s="83"/>
      <c r="G13" s="83"/>
      <c r="H13" s="83"/>
      <c r="K13" s="78"/>
    </row>
    <row r="14" spans="1:14" ht="15.75" x14ac:dyDescent="0.25">
      <c r="A14" s="68" t="s">
        <v>85</v>
      </c>
      <c r="C14" s="73" t="s">
        <v>269</v>
      </c>
      <c r="D14" s="73"/>
      <c r="E14" s="73"/>
      <c r="F14" s="84">
        <f>'BC Balance Comprobación'!D45+'BC Balance Comprobación'!D58</f>
        <v>10442383.700000001</v>
      </c>
      <c r="G14" s="75"/>
      <c r="H14" s="75" t="e">
        <f>SUMIF('[2]BC Balance Comprobación'!A:A,' ERF-Rendimiento Financiero'!A14,'[2]BC Balance Comprobación'!F:F)</f>
        <v>#VALUE!</v>
      </c>
      <c r="J14" s="78"/>
      <c r="K14" s="78" t="e">
        <f t="shared" ref="K14:K25" si="0">+F14+H14</f>
        <v>#VALUE!</v>
      </c>
      <c r="L14" s="78"/>
      <c r="M14" s="78"/>
    </row>
    <row r="15" spans="1:14" ht="15.75" x14ac:dyDescent="0.25">
      <c r="A15" s="68" t="s">
        <v>247</v>
      </c>
      <c r="C15" s="69" t="s">
        <v>270</v>
      </c>
      <c r="F15" s="75">
        <f>'BC Balance Comprobación'!D85+'BC Balance Comprobación'!D159</f>
        <v>9238143.3100000024</v>
      </c>
      <c r="G15" s="78"/>
      <c r="H15" s="78" t="e">
        <f>SUMIF('[2]BC Balance Comprobación'!A:A,' ERF-Rendimiento Financiero'!A15,'[2]BC Balance Comprobación'!F:F)</f>
        <v>#VALUE!</v>
      </c>
      <c r="K15" s="78" t="e">
        <f t="shared" si="0"/>
        <v>#VALUE!</v>
      </c>
    </row>
    <row r="16" spans="1:14" ht="15.75" x14ac:dyDescent="0.25">
      <c r="A16" s="68" t="s">
        <v>163</v>
      </c>
      <c r="C16" s="73" t="s">
        <v>271</v>
      </c>
      <c r="D16" s="73"/>
      <c r="E16" s="73"/>
      <c r="F16" s="75">
        <f>'BC Balance Comprobación'!D105</f>
        <v>5152815.6800000016</v>
      </c>
      <c r="G16" s="75"/>
      <c r="H16" s="75" t="e">
        <f>SUMIF('[2]BC Balance Comprobación'!A:A,' ERF-Rendimiento Financiero'!A16,'[2]BC Balance Comprobación'!F:F)</f>
        <v>#VALUE!</v>
      </c>
      <c r="J16" s="82"/>
      <c r="K16" s="78" t="e">
        <f t="shared" si="0"/>
        <v>#VALUE!</v>
      </c>
      <c r="L16" s="85"/>
      <c r="M16" s="82"/>
      <c r="N16" s="86"/>
    </row>
    <row r="17" spans="1:14" ht="15.75" x14ac:dyDescent="0.25">
      <c r="A17" s="68" t="s">
        <v>256</v>
      </c>
      <c r="C17" s="73" t="s">
        <v>272</v>
      </c>
      <c r="D17" s="73"/>
      <c r="E17" s="73"/>
      <c r="F17" s="79">
        <f>'BC Balance Comprobación'!D160</f>
        <v>2067383.33</v>
      </c>
      <c r="G17" s="75"/>
      <c r="H17" s="75" t="e">
        <f>SUMIF('[2]BC Balance Comprobación'!A:A,' ERF-Rendimiento Financiero'!A17,'[2]BC Balance Comprobación'!F:F)</f>
        <v>#VALUE!</v>
      </c>
      <c r="J17" s="78"/>
      <c r="K17" s="78" t="e">
        <f t="shared" si="0"/>
        <v>#VALUE!</v>
      </c>
    </row>
    <row r="18" spans="1:14" hidden="1" x14ac:dyDescent="0.25">
      <c r="A18" s="68" t="s">
        <v>273</v>
      </c>
      <c r="C18" s="69" t="s">
        <v>274</v>
      </c>
      <c r="F18" s="78" t="e">
        <f>SUMIF('[2]BC Balance Comprobación'!A:A,' ERF-Rendimiento Financiero'!A18,'[2]BC Balance Comprobación'!D:D)</f>
        <v>#VALUE!</v>
      </c>
      <c r="G18" s="78"/>
      <c r="H18" s="78" t="e">
        <f>SUMIF('[2]BC Balance Comprobación'!A:A,' ERF-Rendimiento Financiero'!A18,'[2]BC Balance Comprobación'!F:F)</f>
        <v>#VALUE!</v>
      </c>
      <c r="K18" s="78" t="e">
        <f t="shared" si="0"/>
        <v>#VALUE!</v>
      </c>
    </row>
    <row r="19" spans="1:14" ht="15.75" hidden="1" x14ac:dyDescent="0.25">
      <c r="A19" s="68" t="s">
        <v>111</v>
      </c>
      <c r="C19" s="73" t="s">
        <v>275</v>
      </c>
      <c r="D19" s="73"/>
      <c r="E19" s="73"/>
      <c r="F19" s="79" t="e">
        <f>'[2]BC Balance Comprobación'!D153</f>
        <v>#REF!</v>
      </c>
      <c r="G19" s="75"/>
      <c r="H19" s="79" t="e">
        <f>SUMIF('[2]BC Balance Comprobación'!A:A,' ERF-Rendimiento Financiero'!A19,'[2]BC Balance Comprobación'!F:F)</f>
        <v>#VALUE!</v>
      </c>
      <c r="J19" s="78"/>
      <c r="K19" s="78" t="e">
        <f t="shared" si="0"/>
        <v>#REF!</v>
      </c>
      <c r="L19" s="85"/>
      <c r="N19" s="86"/>
    </row>
    <row r="20" spans="1:14" hidden="1" x14ac:dyDescent="0.25">
      <c r="A20" s="68" t="s">
        <v>276</v>
      </c>
      <c r="C20" s="69" t="s">
        <v>277</v>
      </c>
      <c r="F20" s="78" t="e">
        <f>SUMIF('[2]BC Balance Comprobación'!A:A,' ERF-Rendimiento Financiero'!A20,'[2]BC Balance Comprobación'!D:D)</f>
        <v>#VALUE!</v>
      </c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x14ac:dyDescent="0.25">
      <c r="C21" s="71" t="s">
        <v>278</v>
      </c>
      <c r="D21" s="71"/>
      <c r="E21" s="71"/>
      <c r="F21" s="81">
        <f>F14+F15+F16+F17</f>
        <v>26900726.020000003</v>
      </c>
      <c r="G21" s="81"/>
      <c r="H21" s="80" t="e">
        <f>SUM(H14:H20)</f>
        <v>#VALUE!</v>
      </c>
      <c r="J21" s="87"/>
      <c r="K21" s="78" t="e">
        <f t="shared" si="0"/>
        <v>#VALUE!</v>
      </c>
      <c r="L21" s="78"/>
    </row>
    <row r="22" spans="1:14" x14ac:dyDescent="0.25">
      <c r="F22" s="78"/>
      <c r="G22" s="78"/>
      <c r="H22" s="78"/>
      <c r="J22" s="87"/>
      <c r="K22" s="78">
        <f t="shared" si="0"/>
        <v>0</v>
      </c>
    </row>
    <row r="23" spans="1:14" hidden="1" x14ac:dyDescent="0.25">
      <c r="A23" s="68" t="s">
        <v>279</v>
      </c>
      <c r="C23" s="69" t="s">
        <v>280</v>
      </c>
      <c r="F23" s="78">
        <v>0</v>
      </c>
      <c r="G23" s="78"/>
      <c r="H23" s="78">
        <v>0</v>
      </c>
      <c r="K23" s="78">
        <f t="shared" si="0"/>
        <v>0</v>
      </c>
    </row>
    <row r="24" spans="1:14" hidden="1" x14ac:dyDescent="0.25">
      <c r="F24" s="78"/>
      <c r="G24" s="78"/>
      <c r="H24" s="78"/>
      <c r="K24" s="78">
        <f t="shared" si="0"/>
        <v>0</v>
      </c>
    </row>
    <row r="25" spans="1:14" hidden="1" x14ac:dyDescent="0.25">
      <c r="A25" s="68" t="s">
        <v>281</v>
      </c>
      <c r="C25" s="69" t="s">
        <v>282</v>
      </c>
      <c r="F25" s="78">
        <v>0</v>
      </c>
      <c r="G25" s="78"/>
      <c r="H25" s="78">
        <v>0</v>
      </c>
      <c r="K25" s="78">
        <f t="shared" si="0"/>
        <v>0</v>
      </c>
    </row>
    <row r="26" spans="1:14" ht="15.75" x14ac:dyDescent="0.25">
      <c r="C26" s="73"/>
      <c r="D26" s="73"/>
      <c r="E26" s="73"/>
      <c r="F26" s="75"/>
      <c r="G26" s="75"/>
      <c r="H26" s="75"/>
      <c r="J26" s="87"/>
    </row>
    <row r="27" spans="1:14" ht="16.5" thickBot="1" x14ac:dyDescent="0.3">
      <c r="C27" s="73" t="s">
        <v>283</v>
      </c>
      <c r="D27" s="73"/>
      <c r="E27" s="73"/>
      <c r="F27" s="88">
        <f>F11-F21</f>
        <v>-2399689.320000004</v>
      </c>
      <c r="G27" s="81"/>
      <c r="H27" s="88" t="e">
        <f>+H11-H21+H23+H25</f>
        <v>#VALUE!</v>
      </c>
      <c r="K27" s="78" t="e">
        <f>+F27+H27</f>
        <v>#VALUE!</v>
      </c>
    </row>
    <row r="28" spans="1:14" ht="16.5" thickTop="1" x14ac:dyDescent="0.25">
      <c r="C28" s="73"/>
      <c r="D28" s="73"/>
      <c r="E28" s="73"/>
      <c r="F28" s="75"/>
      <c r="G28" s="75"/>
      <c r="H28" s="75"/>
      <c r="J28" s="78"/>
    </row>
    <row r="29" spans="1:14" hidden="1" x14ac:dyDescent="0.25">
      <c r="F29" s="78"/>
      <c r="G29" s="78"/>
      <c r="H29" s="78"/>
      <c r="K29" s="78">
        <f>+F29+H29</f>
        <v>0</v>
      </c>
    </row>
    <row r="30" spans="1:14" hidden="1" x14ac:dyDescent="0.25">
      <c r="A30" s="68" t="s">
        <v>284</v>
      </c>
      <c r="C30" s="69" t="s">
        <v>285</v>
      </c>
      <c r="F30" s="78">
        <v>0</v>
      </c>
      <c r="G30" s="78"/>
      <c r="H30" s="78">
        <v>0</v>
      </c>
      <c r="K30" s="78">
        <f>+F30+H30</f>
        <v>0</v>
      </c>
    </row>
    <row r="31" spans="1:14" hidden="1" x14ac:dyDescent="0.25">
      <c r="A31" s="68" t="s">
        <v>286</v>
      </c>
      <c r="C31" s="69" t="s">
        <v>287</v>
      </c>
      <c r="F31" s="89">
        <v>0</v>
      </c>
      <c r="G31" s="89"/>
      <c r="H31" s="89">
        <v>0</v>
      </c>
      <c r="K31" s="78">
        <f>+F31+H31</f>
        <v>0</v>
      </c>
    </row>
    <row r="32" spans="1:14" ht="15.75" hidden="1" thickBot="1" x14ac:dyDescent="0.3">
      <c r="F32" s="90">
        <f>SUM(F30:F31)</f>
        <v>0</v>
      </c>
      <c r="G32" s="91"/>
      <c r="H32" s="90">
        <f>SUM(H30:H31)</f>
        <v>0</v>
      </c>
      <c r="K32" s="78">
        <f>+F32+H32</f>
        <v>0</v>
      </c>
    </row>
    <row r="33" spans="3:10" ht="15.75" hidden="1" x14ac:dyDescent="0.25">
      <c r="C33" s="73"/>
      <c r="D33" s="73"/>
      <c r="E33" s="73"/>
      <c r="F33" s="75"/>
      <c r="G33" s="75"/>
      <c r="H33" s="75"/>
    </row>
    <row r="34" spans="3:10" ht="15.75" x14ac:dyDescent="0.25">
      <c r="C34" s="191"/>
      <c r="D34" s="191"/>
      <c r="E34" s="191"/>
      <c r="F34" s="191"/>
      <c r="G34" s="191"/>
      <c r="H34" s="191"/>
    </row>
    <row r="35" spans="3:10" ht="15.75" hidden="1" x14ac:dyDescent="0.25">
      <c r="C35" s="73" t="s">
        <v>288</v>
      </c>
      <c r="D35" s="73"/>
      <c r="E35" s="73"/>
      <c r="F35" s="72"/>
      <c r="G35" s="72"/>
      <c r="H35" s="73"/>
    </row>
    <row r="36" spans="3:10" ht="15.75" x14ac:dyDescent="0.25">
      <c r="C36" s="72"/>
      <c r="D36" s="72"/>
      <c r="E36" s="72"/>
      <c r="F36" s="73"/>
      <c r="G36" s="73"/>
      <c r="H36" s="73"/>
    </row>
    <row r="37" spans="3:10" ht="15.75" x14ac:dyDescent="0.25">
      <c r="C37" s="72"/>
      <c r="D37" s="72"/>
      <c r="E37" s="72"/>
      <c r="F37" s="84"/>
      <c r="G37" s="73"/>
      <c r="H37" s="73"/>
    </row>
    <row r="38" spans="3:10" ht="15.75" x14ac:dyDescent="0.25">
      <c r="C38" s="72"/>
      <c r="D38" s="72"/>
      <c r="E38" s="72"/>
      <c r="F38" s="75"/>
      <c r="G38" s="73"/>
      <c r="H38" s="73"/>
    </row>
    <row r="39" spans="3:10" ht="15.75" x14ac:dyDescent="0.25">
      <c r="C39" s="72"/>
      <c r="D39" s="72"/>
      <c r="E39" s="72"/>
      <c r="F39" s="84"/>
      <c r="G39" s="73"/>
      <c r="H39" s="73"/>
      <c r="J39" s="82"/>
    </row>
    <row r="40" spans="3:10" ht="15.75" x14ac:dyDescent="0.25">
      <c r="C40" s="73"/>
      <c r="D40" s="73"/>
      <c r="E40" s="73"/>
      <c r="F40" s="73"/>
      <c r="G40" s="73"/>
      <c r="H40" s="73"/>
    </row>
    <row r="41" spans="3:10" ht="15.75" hidden="1" x14ac:dyDescent="0.25">
      <c r="C41" s="192" t="s">
        <v>289</v>
      </c>
      <c r="D41" s="192"/>
      <c r="E41" s="192"/>
      <c r="F41" s="192"/>
      <c r="G41" s="192"/>
      <c r="H41" s="192"/>
    </row>
    <row r="42" spans="3:10" ht="18.75" hidden="1" x14ac:dyDescent="0.25">
      <c r="C42" s="92"/>
      <c r="D42" s="92"/>
      <c r="E42" s="92"/>
      <c r="F42" s="92"/>
      <c r="G42" s="92"/>
      <c r="H42" s="92"/>
    </row>
    <row r="43" spans="3:10" ht="18.75" hidden="1" x14ac:dyDescent="0.25">
      <c r="C43" s="93"/>
      <c r="D43" s="93"/>
      <c r="E43" s="93"/>
      <c r="F43" s="93"/>
      <c r="G43" s="93"/>
      <c r="H43" s="93"/>
    </row>
    <row r="44" spans="3:10" ht="15.75" hidden="1" customHeight="1" x14ac:dyDescent="0.3">
      <c r="C44" s="192"/>
      <c r="D44" s="192"/>
      <c r="E44" s="192"/>
      <c r="F44" s="192"/>
      <c r="G44" s="192"/>
      <c r="H44" s="94"/>
    </row>
    <row r="45" spans="3:10" ht="18.75" x14ac:dyDescent="0.25">
      <c r="C45" s="188" t="s">
        <v>290</v>
      </c>
      <c r="D45" s="188"/>
      <c r="E45" s="188"/>
      <c r="F45" s="188"/>
      <c r="G45" s="71"/>
      <c r="H45" s="93"/>
    </row>
    <row r="46" spans="3:10" x14ac:dyDescent="0.25">
      <c r="C46" s="189" t="s">
        <v>291</v>
      </c>
      <c r="D46" s="189"/>
      <c r="E46" s="189"/>
      <c r="F46" s="189"/>
    </row>
  </sheetData>
  <autoFilter ref="A5:K35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5:F45"/>
    <mergeCell ref="C46:F46"/>
    <mergeCell ref="C1:H1"/>
    <mergeCell ref="C2:G2"/>
    <mergeCell ref="C3:H3"/>
    <mergeCell ref="C34:H34"/>
    <mergeCell ref="C41:H41"/>
    <mergeCell ref="C44:G44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tabSelected="1" view="pageBreakPreview" zoomScale="80" zoomScaleSheetLayoutView="80" workbookViewId="0">
      <selection activeCell="A2" sqref="A2:E2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15.42578125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7" t="str">
        <f>'[5]Flujo de Efectivo'!A2</f>
        <v>Estado de Flujo de Efectivo</v>
      </c>
      <c r="B1" s="195"/>
      <c r="C1" s="197"/>
      <c r="D1" s="195"/>
      <c r="E1" s="195"/>
      <c r="F1" s="93"/>
    </row>
    <row r="2" spans="1:17" x14ac:dyDescent="0.3">
      <c r="A2" s="197" t="s">
        <v>402</v>
      </c>
      <c r="B2" s="195"/>
      <c r="C2" s="197"/>
      <c r="D2" s="195"/>
      <c r="E2" s="195"/>
      <c r="F2" s="93"/>
    </row>
    <row r="3" spans="1:17" x14ac:dyDescent="0.3">
      <c r="A3" s="197" t="str">
        <f>'[5]Flujo de Efectivo'!A4</f>
        <v>(Valores en RD$)</v>
      </c>
      <c r="B3" s="195"/>
      <c r="C3" s="197"/>
      <c r="D3" s="195"/>
      <c r="E3" s="195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>
        <f>+'[2]BC Balance Comprobación'!D11</f>
        <v>2022</v>
      </c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292</v>
      </c>
      <c r="B6" s="101"/>
      <c r="C6" s="102"/>
      <c r="D6" s="102"/>
      <c r="E6" s="103"/>
      <c r="F6" s="93"/>
      <c r="H6" s="78"/>
      <c r="J6" s="104"/>
      <c r="K6" s="104"/>
    </row>
    <row r="7" spans="1:17" customFormat="1" hidden="1" x14ac:dyDescent="0.3">
      <c r="A7" s="105" t="s">
        <v>293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294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295</v>
      </c>
      <c r="B9" s="108"/>
      <c r="C9" s="108">
        <f>' ERF-Rendimiento Financiero'!F8</f>
        <v>1950000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1950000</v>
      </c>
      <c r="I9" s="114">
        <f>-'[6]BC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Q9" s="110"/>
    </row>
    <row r="10" spans="1:17" x14ac:dyDescent="0.25">
      <c r="A10" s="111" t="s">
        <v>296</v>
      </c>
      <c r="B10" s="109"/>
      <c r="C10" s="109">
        <f>' ERF-Rendimiento Financiero'!F9+' ERF-Rendimiento Financiero'!F10</f>
        <v>22551036.699999999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22551036.699999999</v>
      </c>
      <c r="I10" s="114">
        <f>-'[6]BC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103215118.36</v>
      </c>
      <c r="O10" s="118">
        <f>+O8-O9</f>
        <v>1593316.0700000077</v>
      </c>
      <c r="P10" s="119"/>
    </row>
    <row r="11" spans="1:17" customFormat="1" hidden="1" x14ac:dyDescent="0.25">
      <c r="A11" s="105" t="s">
        <v>297</v>
      </c>
      <c r="B11" s="105">
        <v>79000</v>
      </c>
      <c r="C11" s="120"/>
      <c r="D11" s="120"/>
      <c r="E11" s="106">
        <v>0</v>
      </c>
      <c r="F11" s="107"/>
      <c r="G11" s="120"/>
      <c r="H11" s="106">
        <f t="shared" si="0"/>
        <v>0</v>
      </c>
      <c r="I11" s="114"/>
      <c r="J11" s="107"/>
    </row>
    <row r="12" spans="1:17" customFormat="1" hidden="1" x14ac:dyDescent="0.3">
      <c r="A12" s="105" t="s">
        <v>298</v>
      </c>
      <c r="B12" s="105"/>
      <c r="C12" s="120">
        <v>0</v>
      </c>
      <c r="D12" s="120"/>
      <c r="E12" s="106"/>
      <c r="F12" s="107"/>
      <c r="G12" s="121"/>
      <c r="H12" s="106">
        <f t="shared" si="0"/>
        <v>0</v>
      </c>
      <c r="I12" s="114"/>
      <c r="J12" s="107"/>
    </row>
    <row r="13" spans="1:17" customFormat="1" hidden="1" x14ac:dyDescent="0.3">
      <c r="A13" s="105" t="s">
        <v>299</v>
      </c>
      <c r="B13" s="105">
        <v>-6923283.4199999999</v>
      </c>
      <c r="C13" s="120">
        <v>0</v>
      </c>
      <c r="D13" s="120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-93621580.620000005</v>
      </c>
    </row>
    <row r="14" spans="1:17" customFormat="1" x14ac:dyDescent="0.3">
      <c r="A14" s="111" t="s">
        <v>300</v>
      </c>
      <c r="B14" s="121"/>
      <c r="C14" s="121"/>
      <c r="D14" s="122"/>
      <c r="E14" s="108" t="e">
        <f>'[2]BC Balance Comprobación'!M39</f>
        <v>#REF!</v>
      </c>
      <c r="F14" s="113"/>
      <c r="G14" s="106"/>
      <c r="H14" s="106" t="e">
        <f t="shared" si="0"/>
        <v>#REF!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4291896.2699999958</v>
      </c>
    </row>
    <row r="15" spans="1:17" customFormat="1" x14ac:dyDescent="0.3">
      <c r="A15" s="123"/>
      <c r="B15" s="108"/>
      <c r="C15" s="108"/>
      <c r="D15" s="112"/>
      <c r="E15" s="108"/>
      <c r="F15" s="113"/>
      <c r="G15" s="96"/>
      <c r="H15" s="106"/>
      <c r="I15" s="114"/>
      <c r="J15" s="107"/>
    </row>
    <row r="16" spans="1:17" customFormat="1" x14ac:dyDescent="0.3">
      <c r="A16" s="111" t="s">
        <v>301</v>
      </c>
      <c r="B16" s="105">
        <v>0</v>
      </c>
      <c r="C16" s="96">
        <f>-'BC Balance Comprobación'!D159</f>
        <v>-1120000</v>
      </c>
      <c r="D16" s="106"/>
      <c r="E16" s="106">
        <v>0</v>
      </c>
      <c r="F16" s="107"/>
      <c r="G16" s="108"/>
      <c r="H16" s="106">
        <f t="shared" ref="H16:H23" si="1">+C16+E16</f>
        <v>-1120000</v>
      </c>
      <c r="I16" s="114"/>
      <c r="J16" s="107"/>
    </row>
    <row r="17" spans="1:21" x14ac:dyDescent="0.3">
      <c r="A17" s="111" t="s">
        <v>302</v>
      </c>
      <c r="B17" s="96"/>
      <c r="C17" s="96">
        <f>-'BC Balance Comprobación'!D45</f>
        <v>-9180934.1300000008</v>
      </c>
      <c r="D17" s="124"/>
      <c r="E17" s="96">
        <v>-83368429</v>
      </c>
      <c r="F17" s="93"/>
      <c r="G17" s="108">
        <v>-5376484.4800000004</v>
      </c>
      <c r="H17" s="78">
        <f t="shared" si="1"/>
        <v>-92549363.129999995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-50563892.190000005</v>
      </c>
      <c r="Q17" s="125"/>
      <c r="R17" s="117"/>
      <c r="S17" s="117"/>
    </row>
    <row r="18" spans="1:21" customFormat="1" x14ac:dyDescent="0.3">
      <c r="A18" s="111" t="s">
        <v>303</v>
      </c>
      <c r="B18" s="108"/>
      <c r="C18" s="108">
        <f>-'BC Balance Comprobación'!D58</f>
        <v>-1261449.5699999998</v>
      </c>
      <c r="D18" s="112"/>
      <c r="E18" s="108">
        <v>-8951787</v>
      </c>
      <c r="F18" s="113"/>
      <c r="G18" s="108">
        <v>-698885.18</v>
      </c>
      <c r="H18" s="106">
        <f t="shared" si="1"/>
        <v>-10213236.57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6">
        <f>+C18+G18+J18+K18+L18</f>
        <v>-5719842.96</v>
      </c>
      <c r="R18" s="127"/>
      <c r="S18" s="127"/>
    </row>
    <row r="19" spans="1:21" customFormat="1" hidden="1" x14ac:dyDescent="0.3">
      <c r="A19" s="105" t="s">
        <v>304</v>
      </c>
      <c r="B19" s="105"/>
      <c r="C19" s="108" t="e">
        <f>-'[2]BC Balance Comprobación'!V3</f>
        <v>#REF!</v>
      </c>
      <c r="D19" s="106"/>
      <c r="E19" s="106">
        <v>0</v>
      </c>
      <c r="F19" s="107"/>
      <c r="G19" s="106"/>
      <c r="H19" s="106" t="e">
        <f t="shared" si="1"/>
        <v>#REF!</v>
      </c>
      <c r="I19" s="114">
        <v>0</v>
      </c>
      <c r="J19" s="114">
        <v>0</v>
      </c>
      <c r="K19" s="114">
        <v>0</v>
      </c>
      <c r="L19" s="114">
        <v>0</v>
      </c>
      <c r="S19" s="127"/>
    </row>
    <row r="20" spans="1:21" x14ac:dyDescent="0.3">
      <c r="A20" s="111" t="s">
        <v>305</v>
      </c>
      <c r="B20" s="96"/>
      <c r="C20" s="108">
        <f>-'BC Balance Comprobación'!D85-'BC Balance Comprobación'!D105</f>
        <v>-13270958.990000002</v>
      </c>
      <c r="D20" s="124"/>
      <c r="E20" s="96">
        <v>-60758429</v>
      </c>
      <c r="F20" s="93"/>
      <c r="G20" s="106">
        <v>-65427</v>
      </c>
      <c r="H20" s="78">
        <f t="shared" si="1"/>
        <v>-74029387.99000001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5">
        <f>+C20+G20+I20+J20+K20+L20</f>
        <v>-37337845.469999999</v>
      </c>
      <c r="P20" s="125"/>
      <c r="R20" s="125"/>
    </row>
    <row r="21" spans="1:21" customFormat="1" hidden="1" x14ac:dyDescent="0.25">
      <c r="A21" s="105" t="s">
        <v>306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7"/>
    </row>
    <row r="22" spans="1:21" customFormat="1" hidden="1" x14ac:dyDescent="0.25">
      <c r="A22" s="105" t="s">
        <v>307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6"/>
      <c r="S22" s="127"/>
    </row>
    <row r="23" spans="1:21" hidden="1" x14ac:dyDescent="0.25">
      <c r="A23" s="111" t="s">
        <v>308</v>
      </c>
      <c r="B23" s="96"/>
      <c r="C23" s="96"/>
      <c r="D23" s="124"/>
      <c r="E23" s="96">
        <v>-8548025</v>
      </c>
      <c r="F23" s="128"/>
      <c r="G23" s="96"/>
      <c r="H23" s="78">
        <f t="shared" si="1"/>
        <v>-8548025</v>
      </c>
      <c r="I23" s="114"/>
      <c r="U23" s="125"/>
    </row>
    <row r="24" spans="1:21" hidden="1" x14ac:dyDescent="0.25">
      <c r="A24" s="111"/>
      <c r="B24" s="96"/>
      <c r="C24" s="96"/>
      <c r="D24" s="124"/>
      <c r="E24" s="96"/>
      <c r="F24" s="128"/>
      <c r="G24" s="124"/>
      <c r="H24" s="78"/>
      <c r="I24" s="114"/>
    </row>
    <row r="25" spans="1:21" ht="24.75" customHeight="1" x14ac:dyDescent="0.3">
      <c r="A25" s="111" t="s">
        <v>309</v>
      </c>
      <c r="B25" s="96"/>
      <c r="C25" s="96"/>
      <c r="D25" s="124"/>
      <c r="E25" s="96"/>
      <c r="F25" s="128"/>
      <c r="G25" s="108"/>
      <c r="H25" s="78"/>
      <c r="I25" s="114"/>
      <c r="Q25" s="118"/>
    </row>
    <row r="26" spans="1:21" x14ac:dyDescent="0.25">
      <c r="A26" s="129" t="s">
        <v>310</v>
      </c>
      <c r="B26" s="124"/>
      <c r="C26" s="124">
        <f>SUBTOTAL(9,C9:C25)</f>
        <v>-332305.99000000395</v>
      </c>
      <c r="D26" s="124"/>
      <c r="E26" s="124" t="e">
        <f t="shared" ref="E26:L26" si="2">SUM(E7:E25)</f>
        <v>#REF!</v>
      </c>
      <c r="F26" s="124">
        <f t="shared" si="2"/>
        <v>0</v>
      </c>
      <c r="G26" s="124">
        <f t="shared" si="2"/>
        <v>6884754.3399999999</v>
      </c>
      <c r="H26" s="124" t="e">
        <f t="shared" si="2"/>
        <v>#REF!</v>
      </c>
      <c r="I26" s="124">
        <f t="shared" si="2"/>
        <v>3986244.8199999994</v>
      </c>
      <c r="J26" s="124">
        <f t="shared" si="2"/>
        <v>-1394437.8400000008</v>
      </c>
      <c r="K26" s="124">
        <f t="shared" si="2"/>
        <v>5203342.59</v>
      </c>
      <c r="L26" s="124">
        <f t="shared" si="2"/>
        <v>2707876.74</v>
      </c>
      <c r="P26" s="125"/>
      <c r="Q26" s="118"/>
    </row>
    <row r="27" spans="1:21" x14ac:dyDescent="0.3">
      <c r="A27" s="93" t="s">
        <v>262</v>
      </c>
      <c r="B27" s="96"/>
      <c r="C27" s="96"/>
      <c r="D27" s="124"/>
      <c r="E27" s="96"/>
      <c r="F27" s="93"/>
      <c r="G27" s="108"/>
      <c r="H27" s="69" t="s">
        <v>311</v>
      </c>
      <c r="I27" s="114"/>
      <c r="J27" s="130"/>
      <c r="P27" s="125"/>
      <c r="Q27" s="118"/>
    </row>
    <row r="28" spans="1:21" x14ac:dyDescent="0.25">
      <c r="A28" s="95" t="s">
        <v>312</v>
      </c>
      <c r="B28" s="131"/>
      <c r="C28" s="131"/>
      <c r="D28" s="132"/>
      <c r="E28" s="124"/>
      <c r="F28" s="93"/>
      <c r="G28" s="124"/>
      <c r="H28" s="78"/>
      <c r="I28" s="114"/>
    </row>
    <row r="29" spans="1:21" customFormat="1" hidden="1" x14ac:dyDescent="0.25">
      <c r="A29" s="105" t="s">
        <v>313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314</v>
      </c>
      <c r="B30" s="105"/>
      <c r="C30" s="106">
        <v>0</v>
      </c>
      <c r="D30" s="106"/>
      <c r="E30" s="106">
        <v>0</v>
      </c>
      <c r="F30" s="107"/>
      <c r="G30" s="124"/>
      <c r="H30" s="106">
        <f>+C30+E30</f>
        <v>0</v>
      </c>
      <c r="I30" s="114"/>
      <c r="J30" s="107"/>
    </row>
    <row r="31" spans="1:21" customFormat="1" hidden="1" x14ac:dyDescent="0.25">
      <c r="A31" s="105" t="s">
        <v>315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3"/>
      <c r="J31" s="107"/>
    </row>
    <row r="32" spans="1:21" customFormat="1" hidden="1" x14ac:dyDescent="0.25">
      <c r="A32" s="105" t="s">
        <v>316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317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4"/>
      <c r="J33" s="107"/>
    </row>
    <row r="34" spans="1:27" customFormat="1" hidden="1" x14ac:dyDescent="0.3">
      <c r="A34" s="111" t="s">
        <v>300</v>
      </c>
      <c r="B34" s="134"/>
      <c r="C34" s="96"/>
      <c r="D34" s="135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3"/>
      <c r="B35" s="108"/>
      <c r="C35" s="108"/>
      <c r="D35" s="112"/>
      <c r="E35" s="108"/>
      <c r="F35" s="113"/>
      <c r="G35" s="96"/>
      <c r="H35" s="106"/>
      <c r="I35" s="106"/>
      <c r="J35" s="136"/>
      <c r="Q35" s="115"/>
      <c r="R35" s="115"/>
    </row>
    <row r="36" spans="1:27" x14ac:dyDescent="0.25">
      <c r="A36" s="111" t="s">
        <v>318</v>
      </c>
      <c r="B36" s="96"/>
      <c r="C36" s="96">
        <f>ABRIL!E52</f>
        <v>7006</v>
      </c>
      <c r="D36" s="124"/>
      <c r="E36" s="96">
        <v>-12714328.18</v>
      </c>
      <c r="F36" s="93"/>
      <c r="H36" s="78">
        <f t="shared" ref="H36:H42" si="3">+C36+E36</f>
        <v>-12707322.18</v>
      </c>
      <c r="I36" s="106"/>
      <c r="J36" s="78"/>
      <c r="P36" s="125"/>
      <c r="Q36" s="117"/>
      <c r="R36" s="117"/>
      <c r="S36" s="137"/>
    </row>
    <row r="37" spans="1:27" ht="15" hidden="1" x14ac:dyDescent="0.25">
      <c r="A37" s="105" t="s">
        <v>319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320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321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322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323</v>
      </c>
      <c r="B41" s="105"/>
      <c r="C41" s="96">
        <f>ABRIL!D54</f>
        <v>5408.59</v>
      </c>
      <c r="D41" s="106"/>
      <c r="E41" s="106">
        <v>0</v>
      </c>
      <c r="F41" s="107"/>
      <c r="G41" s="69"/>
      <c r="H41" s="106">
        <f t="shared" si="3"/>
        <v>5408.59</v>
      </c>
      <c r="I41" s="69"/>
      <c r="J41" s="107"/>
      <c r="S41" s="137"/>
    </row>
    <row r="42" spans="1:27" customFormat="1" ht="20.25" hidden="1" x14ac:dyDescent="0.3">
      <c r="A42" s="138" t="s">
        <v>324</v>
      </c>
      <c r="B42" s="108"/>
      <c r="C42" s="139"/>
      <c r="D42" s="112"/>
      <c r="E42" s="108">
        <v>-1029719</v>
      </c>
      <c r="F42" s="140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40"/>
      <c r="G43" s="124"/>
      <c r="H43" s="106"/>
      <c r="I43" s="69"/>
      <c r="J43" s="107"/>
    </row>
    <row r="44" spans="1:27" x14ac:dyDescent="0.25">
      <c r="A44" s="129" t="s">
        <v>325</v>
      </c>
      <c r="B44" s="124"/>
      <c r="C44" s="124">
        <f>SUM(C29:C43)</f>
        <v>12414.59</v>
      </c>
      <c r="D44" s="124"/>
      <c r="E44" s="124">
        <f t="shared" ref="E44:L44" si="4">SUM(E29:E43)</f>
        <v>-11044934.18</v>
      </c>
      <c r="F44" s="124">
        <f t="shared" si="4"/>
        <v>0</v>
      </c>
      <c r="G44" s="124">
        <f t="shared" si="4"/>
        <v>-67114.9375</v>
      </c>
      <c r="H44" s="124" t="e">
        <f t="shared" si="4"/>
        <v>#REF!</v>
      </c>
      <c r="I44" s="124">
        <f t="shared" si="4"/>
        <v>-460985.64999999997</v>
      </c>
      <c r="J44" s="124">
        <f t="shared" si="4"/>
        <v>-2046096.781</v>
      </c>
      <c r="K44" s="124">
        <f t="shared" si="4"/>
        <v>-1106252.8999999999</v>
      </c>
      <c r="L44" s="124">
        <f t="shared" si="4"/>
        <v>-1989590.89</v>
      </c>
    </row>
    <row r="45" spans="1:27" x14ac:dyDescent="0.25">
      <c r="B45" s="96"/>
      <c r="C45" s="96"/>
      <c r="D45" s="124"/>
      <c r="E45" s="96"/>
      <c r="F45" s="93"/>
      <c r="G45" s="96"/>
      <c r="J45" s="87"/>
      <c r="X45" s="118"/>
      <c r="Z45" s="118"/>
      <c r="AA45" s="117"/>
    </row>
    <row r="46" spans="1:27" customFormat="1" ht="21" x14ac:dyDescent="0.25">
      <c r="A46" s="141" t="s">
        <v>326</v>
      </c>
      <c r="B46" s="124"/>
      <c r="C46" s="124"/>
      <c r="D46" s="124"/>
      <c r="E46" s="96"/>
      <c r="F46" s="93"/>
      <c r="G46" s="142"/>
      <c r="H46" s="78">
        <f>+C46+E46</f>
        <v>0</v>
      </c>
      <c r="I46" s="124"/>
      <c r="J46" s="87"/>
      <c r="X46" s="110"/>
      <c r="Z46" s="110"/>
      <c r="AA46" s="110"/>
    </row>
    <row r="47" spans="1:27" customFormat="1" x14ac:dyDescent="0.3">
      <c r="A47" s="123" t="s">
        <v>327</v>
      </c>
      <c r="B47" s="105"/>
      <c r="C47" s="143">
        <v>2531464.4800000004</v>
      </c>
      <c r="D47" s="106"/>
      <c r="E47" s="106">
        <v>0</v>
      </c>
      <c r="F47" s="107"/>
      <c r="G47" s="106">
        <v>6100158.8799999999</v>
      </c>
      <c r="H47">
        <f>+C47+E47</f>
        <v>2531464.4800000004</v>
      </c>
      <c r="I47" s="115">
        <v>4301473.09</v>
      </c>
      <c r="J47" s="115">
        <v>1193664.42</v>
      </c>
      <c r="K47" s="115">
        <v>881693.84</v>
      </c>
      <c r="L47" s="136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328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329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4" t="s">
        <v>330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300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7"/>
      <c r="L51" s="110"/>
      <c r="Q51" s="110"/>
    </row>
    <row r="52" spans="1:21" customFormat="1" hidden="1" x14ac:dyDescent="0.3">
      <c r="A52" s="123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25">
      <c r="A53" s="111" t="s">
        <v>331</v>
      </c>
      <c r="B53" s="105"/>
      <c r="C53" s="145">
        <f>+'[7]Abril 2022'!$L$72</f>
        <v>0</v>
      </c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332</v>
      </c>
      <c r="B54" s="105"/>
      <c r="C54" s="145"/>
      <c r="D54" s="106"/>
      <c r="E54" s="106">
        <v>0</v>
      </c>
      <c r="F54" s="107"/>
      <c r="G54" s="107"/>
      <c r="H54" s="106">
        <f>+G61+E54</f>
        <v>-1380288.7175000003</v>
      </c>
      <c r="I54" s="136"/>
      <c r="J54" s="107"/>
      <c r="L54" s="110"/>
    </row>
    <row r="55" spans="1:21" customFormat="1" hidden="1" x14ac:dyDescent="0.25">
      <c r="A55" s="111" t="s">
        <v>333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6">
        <v>-478574.57</v>
      </c>
      <c r="Q55" s="110"/>
      <c r="R55" s="78"/>
      <c r="S55" s="127"/>
    </row>
    <row r="56" spans="1:21" customFormat="1" hidden="1" x14ac:dyDescent="0.25">
      <c r="A56" s="111" t="s">
        <v>334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6"/>
      <c r="J56" s="107"/>
      <c r="L56" s="110"/>
      <c r="O56" s="147">
        <f>+O53-O55</f>
        <v>-4663900.7899999972</v>
      </c>
    </row>
    <row r="57" spans="1:21" customFormat="1" hidden="1" x14ac:dyDescent="0.25">
      <c r="A57" s="111" t="s">
        <v>335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324</v>
      </c>
      <c r="B58" s="105"/>
      <c r="C58" s="93"/>
      <c r="D58" s="106"/>
      <c r="E58" s="106">
        <v>0</v>
      </c>
      <c r="F58" s="148"/>
      <c r="G58" s="149"/>
      <c r="H58" s="106" t="e">
        <f>+G66+E58</f>
        <v>#VALUE!</v>
      </c>
      <c r="I58" s="107"/>
      <c r="J58" s="107"/>
    </row>
    <row r="59" spans="1:21" customFormat="1" x14ac:dyDescent="0.3">
      <c r="A59" s="150" t="s">
        <v>336</v>
      </c>
      <c r="B59" s="124"/>
      <c r="C59" s="124">
        <f>SUM(C47:C58)</f>
        <v>2531464.4800000004</v>
      </c>
      <c r="D59" s="124"/>
      <c r="E59" s="124">
        <f t="shared" ref="E59:L59" si="5">SUM(E47:E58)</f>
        <v>0</v>
      </c>
      <c r="F59" s="124">
        <f t="shared" si="5"/>
        <v>0</v>
      </c>
      <c r="G59" s="124">
        <f t="shared" si="5"/>
        <v>-8197928.1200000001</v>
      </c>
      <c r="H59" s="124" t="e">
        <f t="shared" si="5"/>
        <v>#VALUE!</v>
      </c>
      <c r="I59" s="124">
        <f t="shared" si="5"/>
        <v>-4788763.2300000004</v>
      </c>
      <c r="J59" s="124">
        <f t="shared" si="5"/>
        <v>-3023635.46</v>
      </c>
      <c r="K59" s="124">
        <f t="shared" si="5"/>
        <v>-6734959.6199999992</v>
      </c>
      <c r="L59" s="124">
        <f t="shared" si="5"/>
        <v>-364131.80999999994</v>
      </c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311</v>
      </c>
      <c r="I60" s="106"/>
      <c r="J60" s="107"/>
    </row>
    <row r="61" spans="1:21" x14ac:dyDescent="0.25">
      <c r="A61" s="93" t="s">
        <v>337</v>
      </c>
      <c r="B61" s="96"/>
      <c r="C61" s="96">
        <f>+C26+C44+C59</f>
        <v>2211573.0799999963</v>
      </c>
      <c r="D61" s="96">
        <f>+D26+D44+D59</f>
        <v>0</v>
      </c>
      <c r="E61" s="96" t="e">
        <f>+E26+E44+E59</f>
        <v>#REF!</v>
      </c>
      <c r="F61" s="96">
        <f>+F26+F44+F59</f>
        <v>0</v>
      </c>
      <c r="G61" s="96">
        <f>+G26+G44+G59</f>
        <v>-1380288.7175000003</v>
      </c>
      <c r="H61" s="78" t="e">
        <f>+C61+E61</f>
        <v>#REF!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338</v>
      </c>
      <c r="B62" s="142"/>
      <c r="C62" s="142">
        <v>13068668</v>
      </c>
      <c r="D62" s="151"/>
      <c r="E62" s="142">
        <v>5853191.9199999999</v>
      </c>
      <c r="F62" s="93"/>
      <c r="G62" s="142">
        <v>20979065.719999999</v>
      </c>
      <c r="H62" s="78">
        <f>+C62+E62</f>
        <v>18921859.920000002</v>
      </c>
      <c r="I62" s="142">
        <v>19598777</v>
      </c>
      <c r="J62" s="142">
        <v>18335272.939999998</v>
      </c>
      <c r="K62" s="142">
        <v>11871103</v>
      </c>
      <c r="L62" s="142">
        <v>9233233</v>
      </c>
    </row>
    <row r="63" spans="1:21" ht="19.5" thickBot="1" x14ac:dyDescent="0.3">
      <c r="A63" s="93" t="s">
        <v>339</v>
      </c>
      <c r="B63" s="152"/>
      <c r="C63" s="152">
        <f>SUM(C61:C62)</f>
        <v>15280241.079999996</v>
      </c>
      <c r="D63" s="124"/>
      <c r="E63" s="152" t="e">
        <f>SUM(E61:E62)</f>
        <v>#REF!</v>
      </c>
      <c r="F63" s="93"/>
      <c r="G63" s="152">
        <f>SUM(G61:G62)</f>
        <v>19598777.002499998</v>
      </c>
      <c r="H63" s="78" t="e">
        <f>+C63+E63</f>
        <v>#REF!</v>
      </c>
      <c r="I63" s="152">
        <f>SUM(I61:I62)</f>
        <v>18335272.939999998</v>
      </c>
      <c r="J63" s="152">
        <f>SUM(J61:J62)</f>
        <v>11871102.858999997</v>
      </c>
      <c r="K63" s="152">
        <f>SUM(K61:K62)</f>
        <v>9233233.0700000003</v>
      </c>
      <c r="L63" s="152">
        <f>SUM(L61:L62)</f>
        <v>9587387.040000001</v>
      </c>
    </row>
    <row r="64" spans="1:21" ht="19.5" thickTop="1" x14ac:dyDescent="0.25">
      <c r="B64" s="124"/>
      <c r="C64" s="124"/>
      <c r="D64" s="124"/>
      <c r="E64" s="124"/>
      <c r="F64" s="93"/>
      <c r="G64" s="124"/>
      <c r="H64" s="78"/>
      <c r="I64" s="124"/>
      <c r="J64" s="124"/>
      <c r="K64" s="124"/>
      <c r="L64" s="124"/>
    </row>
    <row r="65" spans="1:13" x14ac:dyDescent="0.25">
      <c r="B65" s="93"/>
      <c r="C65" s="103"/>
      <c r="D65" s="103"/>
      <c r="E65" s="103"/>
      <c r="F65" s="93"/>
      <c r="G65" s="106"/>
      <c r="H65" s="69" t="s">
        <v>311</v>
      </c>
      <c r="I65" s="78"/>
    </row>
    <row r="66" spans="1:13" ht="21" hidden="1" x14ac:dyDescent="0.25">
      <c r="A66" s="153" t="s">
        <v>288</v>
      </c>
      <c r="B66" s="153"/>
      <c r="C66" s="96"/>
      <c r="D66" s="93"/>
      <c r="E66" s="96"/>
      <c r="F66" s="93"/>
      <c r="G66" s="142" t="s">
        <v>340</v>
      </c>
      <c r="M66" s="125">
        <f>+K62-J63</f>
        <v>0.14100000262260437</v>
      </c>
    </row>
    <row r="67" spans="1:13" x14ac:dyDescent="0.25">
      <c r="A67" s="195" t="s">
        <v>290</v>
      </c>
      <c r="B67" s="195"/>
      <c r="C67" s="195"/>
      <c r="D67" s="93"/>
      <c r="E67" s="93"/>
      <c r="F67" s="93"/>
      <c r="G67" s="78"/>
      <c r="I67" s="78" t="e">
        <f>+C63-G66</f>
        <v>#VALUE!</v>
      </c>
    </row>
    <row r="68" spans="1:13" x14ac:dyDescent="0.25">
      <c r="A68" s="193" t="s">
        <v>291</v>
      </c>
      <c r="B68" s="193"/>
      <c r="C68" s="193"/>
      <c r="D68" s="93"/>
      <c r="E68" s="93"/>
      <c r="F68" s="93"/>
      <c r="I68" s="82"/>
    </row>
    <row r="69" spans="1:13" hidden="1" x14ac:dyDescent="0.25">
      <c r="A69" s="194" t="s">
        <v>341</v>
      </c>
      <c r="B69" s="194"/>
      <c r="C69" s="194"/>
      <c r="D69" s="194"/>
      <c r="E69" s="194"/>
      <c r="F69" s="93"/>
      <c r="I69" s="78"/>
    </row>
    <row r="70" spans="1:13" hidden="1" x14ac:dyDescent="0.25">
      <c r="B70" s="93"/>
      <c r="D70" s="93"/>
      <c r="E70" s="93"/>
      <c r="F70" s="93"/>
      <c r="I70" s="109"/>
    </row>
    <row r="71" spans="1:13" hidden="1" x14ac:dyDescent="0.25">
      <c r="B71" s="93"/>
      <c r="D71" s="93"/>
      <c r="E71" s="93"/>
      <c r="F71" s="93"/>
      <c r="I71" s="82"/>
    </row>
    <row r="72" spans="1:13" ht="18.75" hidden="1" customHeight="1" x14ac:dyDescent="0.25">
      <c r="A72" s="196"/>
      <c r="B72" s="194"/>
      <c r="C72" s="196"/>
      <c r="D72" s="111"/>
      <c r="E72" s="111"/>
      <c r="F72" s="111"/>
    </row>
    <row r="73" spans="1:13" hidden="1" x14ac:dyDescent="0.25">
      <c r="B73" s="93"/>
      <c r="D73" s="93"/>
      <c r="E73" s="93"/>
      <c r="F73" s="93"/>
    </row>
    <row r="78" spans="1:13" x14ac:dyDescent="0.25">
      <c r="C78" s="145"/>
      <c r="D78" s="154"/>
      <c r="E78" s="155"/>
    </row>
    <row r="79" spans="1:13" x14ac:dyDescent="0.25">
      <c r="C79" s="145"/>
      <c r="D79" s="154"/>
      <c r="E79" s="155"/>
    </row>
    <row r="80" spans="1:13" x14ac:dyDescent="0.25">
      <c r="C80" s="145"/>
      <c r="D80" s="154"/>
      <c r="E80" s="155"/>
    </row>
    <row r="81" spans="3:5" x14ac:dyDescent="0.25">
      <c r="C81" s="145"/>
      <c r="D81" s="154"/>
      <c r="E81" s="155"/>
    </row>
    <row r="82" spans="3:5" x14ac:dyDescent="0.25">
      <c r="C82" s="145"/>
      <c r="D82" s="154"/>
      <c r="E82" s="155"/>
    </row>
    <row r="83" spans="3:5" x14ac:dyDescent="0.25">
      <c r="C83" s="145"/>
      <c r="D83" s="154"/>
      <c r="E83" s="155"/>
    </row>
    <row r="84" spans="3:5" x14ac:dyDescent="0.25">
      <c r="C84" s="145"/>
      <c r="D84" s="154"/>
      <c r="E84" s="155"/>
    </row>
    <row r="85" spans="3:5" x14ac:dyDescent="0.25">
      <c r="C85" s="145"/>
      <c r="D85" s="154"/>
      <c r="E85" s="155"/>
    </row>
    <row r="86" spans="3:5" x14ac:dyDescent="0.25">
      <c r="C86" s="145"/>
      <c r="D86" s="154"/>
      <c r="E86" s="155"/>
    </row>
    <row r="87" spans="3:5" x14ac:dyDescent="0.25">
      <c r="C87" s="145"/>
      <c r="D87" s="154"/>
      <c r="E87" s="155"/>
    </row>
    <row r="88" spans="3:5" x14ac:dyDescent="0.25">
      <c r="C88" s="145"/>
      <c r="D88" s="154"/>
      <c r="E88" s="155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topLeftCell="A7" zoomScale="75" zoomScaleSheetLayoutView="75" workbookViewId="0">
      <selection activeCell="I4" sqref="I4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18.85546875" style="69" customWidth="1"/>
    <col min="8" max="8" width="19.42578125" style="69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98.25" customHeight="1" x14ac:dyDescent="0.25">
      <c r="B2" s="195"/>
      <c r="C2" s="195"/>
      <c r="D2" s="195"/>
      <c r="E2" s="195"/>
      <c r="F2" s="195"/>
      <c r="G2" s="195"/>
      <c r="H2" s="195"/>
    </row>
    <row r="3" spans="1:13" ht="18.75" x14ac:dyDescent="0.25">
      <c r="B3" s="195" t="s">
        <v>342</v>
      </c>
      <c r="C3" s="195"/>
      <c r="D3" s="195"/>
      <c r="E3" s="195"/>
      <c r="F3" s="195"/>
      <c r="G3" s="195"/>
      <c r="H3" s="195"/>
    </row>
    <row r="4" spans="1:13" ht="18.75" x14ac:dyDescent="0.25">
      <c r="B4" s="195" t="s">
        <v>401</v>
      </c>
      <c r="C4" s="195"/>
      <c r="D4" s="195"/>
      <c r="E4" s="195"/>
      <c r="F4" s="195"/>
      <c r="G4" s="195"/>
      <c r="H4" s="195"/>
    </row>
    <row r="5" spans="1:13" ht="18.75" x14ac:dyDescent="0.25">
      <c r="B5" s="195" t="s">
        <v>7</v>
      </c>
      <c r="C5" s="195"/>
      <c r="D5" s="195"/>
      <c r="E5" s="195"/>
      <c r="F5" s="195"/>
      <c r="G5" s="195"/>
      <c r="H5" s="195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6"/>
      <c r="D7" s="157" t="s">
        <v>343</v>
      </c>
      <c r="E7" s="157" t="s">
        <v>344</v>
      </c>
      <c r="F7" s="157" t="s">
        <v>345</v>
      </c>
      <c r="G7" s="157" t="s">
        <v>346</v>
      </c>
      <c r="H7" s="157" t="s">
        <v>347</v>
      </c>
    </row>
    <row r="8" spans="1:13" ht="18.75" x14ac:dyDescent="0.3">
      <c r="B8" s="93"/>
      <c r="C8" s="156" t="s">
        <v>348</v>
      </c>
      <c r="D8" s="158">
        <v>51695326</v>
      </c>
      <c r="E8" s="159">
        <v>0</v>
      </c>
      <c r="F8" s="159">
        <v>0</v>
      </c>
      <c r="G8" s="160">
        <v>26974241.190000001</v>
      </c>
      <c r="H8" s="160">
        <f>SUM(D8,E8,F8,G8)</f>
        <v>78669567.189999998</v>
      </c>
      <c r="I8" s="78"/>
    </row>
    <row r="9" spans="1:13" customFormat="1" ht="18.75" x14ac:dyDescent="0.3">
      <c r="A9" s="107"/>
      <c r="B9" s="113"/>
      <c r="C9" s="156" t="s">
        <v>349</v>
      </c>
      <c r="D9" s="159"/>
      <c r="E9" s="159">
        <v>0</v>
      </c>
      <c r="F9" s="159"/>
      <c r="G9" s="159"/>
      <c r="H9" s="159">
        <f>SUM(D9,E9,F9,G9)</f>
        <v>0</v>
      </c>
      <c r="I9" s="107"/>
    </row>
    <row r="10" spans="1:13" customFormat="1" ht="18.75" x14ac:dyDescent="0.3">
      <c r="A10" s="107"/>
      <c r="B10" s="113"/>
      <c r="C10" s="156" t="s">
        <v>350</v>
      </c>
      <c r="D10" s="159"/>
      <c r="E10" s="159"/>
      <c r="F10" s="159" t="s">
        <v>262</v>
      </c>
      <c r="G10" s="159"/>
      <c r="H10" s="159"/>
      <c r="I10" s="107"/>
    </row>
    <row r="11" spans="1:13" ht="18.75" x14ac:dyDescent="0.3">
      <c r="B11" s="93"/>
      <c r="C11" s="156" t="s">
        <v>351</v>
      </c>
      <c r="D11" s="158"/>
      <c r="E11" s="159"/>
      <c r="F11" s="159"/>
      <c r="G11" s="160"/>
      <c r="H11" s="160"/>
      <c r="I11" s="78"/>
      <c r="J11" s="125"/>
    </row>
    <row r="12" spans="1:13" ht="18.75" x14ac:dyDescent="0.3">
      <c r="B12" s="93"/>
      <c r="C12" s="156" t="s">
        <v>72</v>
      </c>
      <c r="D12" s="158"/>
      <c r="E12" s="159"/>
      <c r="F12" s="159"/>
      <c r="G12" s="160">
        <v>-8419224.5899999999</v>
      </c>
      <c r="H12" s="160">
        <f>SUM(D12,E12,F12,G12)</f>
        <v>-8419224.5899999999</v>
      </c>
      <c r="I12" s="78"/>
    </row>
    <row r="13" spans="1:13" ht="18.75" x14ac:dyDescent="0.3">
      <c r="B13" s="93"/>
      <c r="C13" s="156" t="s">
        <v>352</v>
      </c>
      <c r="D13" s="161">
        <f>SUM(D8:D12)</f>
        <v>51695326</v>
      </c>
      <c r="E13" s="161">
        <f>SUM(E8:E12)</f>
        <v>0</v>
      </c>
      <c r="F13" s="161">
        <f>SUM(F8:F12)</f>
        <v>0</v>
      </c>
      <c r="G13" s="162">
        <f>SUM(G8:G12)</f>
        <v>18555016.600000001</v>
      </c>
      <c r="H13" s="162">
        <f>SUM(H8:H12)</f>
        <v>70250342.599999994</v>
      </c>
      <c r="I13" s="78"/>
      <c r="K13" s="125"/>
      <c r="M13" s="125"/>
    </row>
    <row r="14" spans="1:13" ht="18.75" hidden="1" x14ac:dyDescent="0.3">
      <c r="B14" s="93"/>
      <c r="C14" s="163" t="s">
        <v>262</v>
      </c>
      <c r="D14" s="164">
        <f>SUM(D9:D13)</f>
        <v>51695326</v>
      </c>
      <c r="E14" s="108"/>
      <c r="F14" s="165"/>
      <c r="G14" s="96">
        <v>39052659</v>
      </c>
      <c r="H14" s="166">
        <f>D14+F14+G14</f>
        <v>90747985</v>
      </c>
      <c r="I14" s="78"/>
      <c r="J14" s="125"/>
      <c r="K14" s="125"/>
    </row>
    <row r="15" spans="1:13" customFormat="1" ht="18.75" x14ac:dyDescent="0.3">
      <c r="A15" s="107"/>
      <c r="B15" s="113"/>
      <c r="C15" s="167" t="s">
        <v>349</v>
      </c>
      <c r="D15" s="159"/>
      <c r="E15" s="159">
        <v>0</v>
      </c>
      <c r="F15" s="159"/>
      <c r="G15" s="159"/>
      <c r="H15" s="159">
        <f>SUM(D15,E15,F15,G15)</f>
        <v>0</v>
      </c>
      <c r="I15" s="107"/>
      <c r="K15" s="127"/>
      <c r="M15" s="127"/>
    </row>
    <row r="16" spans="1:13" customFormat="1" ht="18.75" x14ac:dyDescent="0.3">
      <c r="A16" s="107"/>
      <c r="B16" s="113"/>
      <c r="C16" s="167" t="s">
        <v>350</v>
      </c>
      <c r="D16" s="159"/>
      <c r="E16" s="159"/>
      <c r="F16" s="159">
        <v>0</v>
      </c>
      <c r="G16" s="159"/>
      <c r="H16" s="159">
        <f>SUM(D16,E16,F16,G16)</f>
        <v>0</v>
      </c>
      <c r="I16" s="107"/>
    </row>
    <row r="17" spans="1:14" customFormat="1" ht="37.5" x14ac:dyDescent="0.3">
      <c r="A17" s="107"/>
      <c r="B17" s="113"/>
      <c r="C17" s="168" t="s">
        <v>353</v>
      </c>
      <c r="D17" s="159"/>
      <c r="E17" s="159"/>
      <c r="F17" s="159">
        <v>0</v>
      </c>
      <c r="G17" s="159"/>
      <c r="H17" s="159">
        <f>SUM(D17,E17,F17,G17)</f>
        <v>0</v>
      </c>
      <c r="I17" s="78"/>
      <c r="J17" s="147"/>
      <c r="K17" s="127"/>
    </row>
    <row r="18" spans="1:14" ht="18.75" x14ac:dyDescent="0.3">
      <c r="B18" s="93"/>
      <c r="C18" s="167" t="s">
        <v>351</v>
      </c>
      <c r="D18" s="159"/>
      <c r="E18" s="159"/>
      <c r="F18" s="159"/>
      <c r="G18" s="160">
        <v>-1201105</v>
      </c>
      <c r="H18" s="159">
        <f>SUM(D18,E18,F18,G18)</f>
        <v>-1201105</v>
      </c>
      <c r="I18" s="78"/>
      <c r="J18" s="117"/>
      <c r="K18" s="125"/>
      <c r="N18" s="169"/>
    </row>
    <row r="19" spans="1:14" ht="18.75" x14ac:dyDescent="0.3">
      <c r="B19" s="93"/>
      <c r="C19" s="167" t="s">
        <v>72</v>
      </c>
      <c r="D19" s="159"/>
      <c r="E19" s="159"/>
      <c r="F19" s="159"/>
      <c r="G19" s="160">
        <f>' ERF-Rendimiento Financiero'!F27</f>
        <v>-2399689.320000004</v>
      </c>
      <c r="H19" s="160">
        <f>SUM(D19,E19,F19,G19)</f>
        <v>-2399689.320000004</v>
      </c>
      <c r="J19" s="117"/>
      <c r="K19" s="169"/>
      <c r="L19" s="169"/>
    </row>
    <row r="20" spans="1:14" ht="18.75" x14ac:dyDescent="0.25">
      <c r="B20" s="95"/>
      <c r="C20" s="170" t="s">
        <v>354</v>
      </c>
      <c r="D20" s="162">
        <f>D14+D18</f>
        <v>51695326</v>
      </c>
      <c r="E20" s="162">
        <f>SUM(E19,E13)</f>
        <v>0</v>
      </c>
      <c r="F20" s="162">
        <f>SUM(F19,F13)</f>
        <v>0</v>
      </c>
      <c r="G20" s="162">
        <f>G13+G15+G16+G17+G18+G19</f>
        <v>14954222.279999997</v>
      </c>
      <c r="H20" s="162">
        <f>H13+H15+H16+H17+H18+H19</f>
        <v>66649548.279999986</v>
      </c>
      <c r="K20" s="125"/>
      <c r="M20" s="125"/>
    </row>
    <row r="21" spans="1:14" ht="18.75" x14ac:dyDescent="0.3">
      <c r="B21" s="95"/>
      <c r="C21" s="93"/>
      <c r="D21" s="108"/>
      <c r="E21" s="108"/>
      <c r="F21" s="108"/>
      <c r="G21" s="96"/>
      <c r="H21" s="96"/>
      <c r="I21" s="78"/>
      <c r="K21" s="125"/>
    </row>
    <row r="22" spans="1:14" ht="18.75" x14ac:dyDescent="0.25">
      <c r="B22" s="93"/>
      <c r="C22" s="93"/>
      <c r="D22" s="93"/>
      <c r="E22" s="93"/>
      <c r="F22" s="93"/>
      <c r="G22" s="93"/>
      <c r="H22" s="106"/>
      <c r="I22" s="82"/>
      <c r="J22" s="125"/>
      <c r="L22" s="125"/>
    </row>
    <row r="23" spans="1:14" ht="18.75" hidden="1" x14ac:dyDescent="0.3">
      <c r="B23" s="93"/>
      <c r="C23" s="93" t="s">
        <v>355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5"/>
    </row>
    <row r="26" spans="1:14" ht="18.75" hidden="1" x14ac:dyDescent="0.25">
      <c r="B26" s="93"/>
      <c r="C26" s="194" t="s">
        <v>289</v>
      </c>
      <c r="D26" s="194"/>
      <c r="E26" s="194"/>
      <c r="F26" s="194"/>
      <c r="G26" s="194"/>
      <c r="H26" s="194"/>
    </row>
    <row r="27" spans="1:14" ht="18.75" x14ac:dyDescent="0.25">
      <c r="A27" s="195" t="s">
        <v>290</v>
      </c>
      <c r="B27" s="195"/>
      <c r="C27" s="195"/>
      <c r="D27" s="195"/>
      <c r="E27" s="195"/>
      <c r="F27" s="195"/>
      <c r="G27" s="195"/>
      <c r="H27" s="195"/>
      <c r="I27" s="195"/>
    </row>
    <row r="28" spans="1:14" ht="18.75" x14ac:dyDescent="0.25">
      <c r="A28" s="193" t="s">
        <v>291</v>
      </c>
      <c r="B28" s="193"/>
      <c r="C28" s="193"/>
      <c r="D28" s="193"/>
      <c r="E28" s="193"/>
      <c r="F28" s="193"/>
      <c r="G28" s="193"/>
      <c r="H28" s="193"/>
      <c r="I28" s="193"/>
    </row>
    <row r="29" spans="1:14" ht="18.75" hidden="1" x14ac:dyDescent="0.3">
      <c r="B29" s="93"/>
      <c r="C29" s="194" t="s">
        <v>356</v>
      </c>
      <c r="D29" s="194"/>
      <c r="E29" s="113"/>
      <c r="F29" s="113"/>
      <c r="G29" s="194" t="s">
        <v>357</v>
      </c>
      <c r="H29" s="194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7"/>
    </row>
    <row r="8" spans="8:15" x14ac:dyDescent="0.25">
      <c r="H8" s="147">
        <v>597649</v>
      </c>
      <c r="J8" s="147">
        <v>66075722</v>
      </c>
      <c r="K8" s="147"/>
      <c r="L8" s="147"/>
      <c r="M8" s="147"/>
      <c r="N8" s="147"/>
      <c r="O8" s="147"/>
    </row>
    <row r="9" spans="8:15" x14ac:dyDescent="0.25">
      <c r="H9" s="147">
        <v>42703</v>
      </c>
      <c r="J9" s="147">
        <v>84411</v>
      </c>
      <c r="K9" s="147"/>
      <c r="L9" s="147"/>
      <c r="M9" s="147"/>
      <c r="N9" s="147"/>
      <c r="O9" s="147"/>
    </row>
    <row r="10" spans="8:15" x14ac:dyDescent="0.25">
      <c r="H10" s="147">
        <v>64076072</v>
      </c>
      <c r="J10" s="147">
        <f>SUM(J8:J9)</f>
        <v>66160133</v>
      </c>
      <c r="K10" s="147"/>
      <c r="L10" s="147"/>
      <c r="M10" s="147"/>
      <c r="N10" s="147"/>
      <c r="O10" s="147"/>
    </row>
    <row r="11" spans="8:15" x14ac:dyDescent="0.25">
      <c r="H11" s="147">
        <f>SUM(H8:H10)</f>
        <v>64716424</v>
      </c>
      <c r="J11" s="147">
        <v>2096267</v>
      </c>
      <c r="K11" s="147"/>
      <c r="L11" s="147"/>
      <c r="M11" s="147"/>
      <c r="N11" s="147"/>
      <c r="O11" s="147"/>
    </row>
    <row r="12" spans="8:15" x14ac:dyDescent="0.25">
      <c r="H12" s="147">
        <v>2098038</v>
      </c>
      <c r="J12" s="147">
        <f>J10-J11</f>
        <v>64063866</v>
      </c>
      <c r="K12" s="147"/>
      <c r="L12" s="147"/>
      <c r="M12" s="147"/>
      <c r="N12" s="147"/>
      <c r="O12" s="147"/>
    </row>
    <row r="13" spans="8:15" x14ac:dyDescent="0.25">
      <c r="H13" s="147">
        <f>H11-H12</f>
        <v>62618386</v>
      </c>
      <c r="I13" s="147">
        <f>H13-61975942</f>
        <v>642444</v>
      </c>
      <c r="J13" s="147"/>
      <c r="K13" s="147"/>
      <c r="L13" s="147"/>
      <c r="M13" s="147"/>
      <c r="N13" s="147"/>
      <c r="O13" s="147"/>
    </row>
    <row r="14" spans="8:15" x14ac:dyDescent="0.25">
      <c r="H14" s="147"/>
      <c r="J14" s="147"/>
      <c r="K14" s="147"/>
      <c r="L14" s="147"/>
      <c r="M14" s="147"/>
      <c r="N14" s="147"/>
      <c r="O14" s="147"/>
    </row>
    <row r="15" spans="8:15" x14ac:dyDescent="0.25">
      <c r="H15" s="147"/>
      <c r="J15" s="147"/>
      <c r="K15" s="147"/>
      <c r="L15" s="147"/>
      <c r="M15" s="147"/>
      <c r="N15" s="147"/>
      <c r="O15" s="147"/>
    </row>
    <row r="16" spans="8:15" x14ac:dyDescent="0.25">
      <c r="H16" s="147"/>
      <c r="J16" s="147"/>
      <c r="K16" s="147"/>
      <c r="L16" s="147"/>
      <c r="M16" s="147"/>
      <c r="N16" s="147"/>
      <c r="O16" s="1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EFE-Flujo de Efectivo</vt:lpstr>
      <vt:lpstr>ECANP-Cambio Patrimonio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cp:lastPrinted>2022-05-10T18:24:42Z</cp:lastPrinted>
  <dcterms:created xsi:type="dcterms:W3CDTF">2022-05-09T16:29:53Z</dcterms:created>
  <dcterms:modified xsi:type="dcterms:W3CDTF">2022-05-10T18:17:26Z</dcterms:modified>
</cp:coreProperties>
</file>